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" yWindow="540" windowWidth="20640" windowHeight="11025" tabRatio="760" activeTab="7"/>
  </bookViews>
  <sheets>
    <sheet name="Дод.1" sheetId="1" r:id="rId1"/>
    <sheet name="Дод.1.1" sheetId="2" r:id="rId2"/>
    <sheet name="Дод.2" sheetId="3" r:id="rId3"/>
    <sheet name="Дод.3" sheetId="4" r:id="rId4"/>
    <sheet name="Дод.4" sheetId="5" r:id="rId5"/>
    <sheet name="Дод.4.1" sheetId="6" r:id="rId6"/>
    <sheet name="дод.5" sheetId="7" r:id="rId7"/>
    <sheet name="дод. 7" sheetId="8" r:id="rId8"/>
    <sheet name="дод 6.1" sheetId="9" r:id="rId9"/>
  </sheets>
  <externalReferences>
    <externalReference r:id="rId12"/>
  </externalReferences>
  <definedNames>
    <definedName name="_xlnm._FilterDatabase" localSheetId="6" hidden="1">'дод.5'!$A$10:$W$108</definedName>
    <definedName name="_xlnm.Print_Titles" localSheetId="0">'Дод.1'!$7:$9</definedName>
    <definedName name="_xlnm.Print_Titles" localSheetId="3">'Дод.3'!$7:$11</definedName>
    <definedName name="_xlnm.Print_Titles" localSheetId="4">'Дод.4'!$A:$B</definedName>
    <definedName name="_xlnm.Print_Area" localSheetId="7">'дод. 7'!$A$1:$I$25</definedName>
    <definedName name="_xlnm.Print_Area" localSheetId="0">'Дод.1'!$A$1:$F$122</definedName>
    <definedName name="_xlnm.Print_Area" localSheetId="1">'Дод.1.1'!$A$1:$E$209</definedName>
    <definedName name="_xlnm.Print_Area" localSheetId="2">'Дод.2'!$A$1:$F$33</definedName>
    <definedName name="_xlnm.Print_Area" localSheetId="3">'Дод.3'!$C$1:$S$120</definedName>
    <definedName name="_xlnm.Print_Area" localSheetId="4">'Дод.4'!$A$1:$BA$45</definedName>
    <definedName name="_xlnm.Print_Area" localSheetId="5">'Дод.4.1'!$A$1:$E$235</definedName>
    <definedName name="_xlnm.Print_Area" localSheetId="6">'дод.5'!$A$1:$K$111</definedName>
  </definedNames>
  <calcPr fullCalcOnLoad="1"/>
</workbook>
</file>

<file path=xl/sharedStrings.xml><?xml version="1.0" encoding="utf-8"?>
<sst xmlns="http://schemas.openxmlformats.org/spreadsheetml/2006/main" count="1683" uniqueCount="1048">
  <si>
    <t>Технічне переоснащення з заміною медико-технологічного обладнання рентгенкабінету поліклініки КНП "Центральна районна лікарня" Житомирської районної ради по шосе Сквирське,3 в с.Станишівка Житомирського району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</si>
  <si>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</si>
  <si>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3719610</t>
  </si>
  <si>
    <t>9610</t>
  </si>
  <si>
    <t>УПСЗН на надання інших пільг окремим категоріям громадян Станишівської сільської ради відповідно до законодавства</t>
  </si>
  <si>
    <t>УПСЗН на надання пільг окремим категоріям громадян Станишівської сільської ради з оплати послуг зв'язку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</si>
  <si>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</si>
  <si>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дод. №1</t>
  </si>
  <si>
    <t>розбіжності</t>
  </si>
  <si>
    <t>3016</t>
  </si>
  <si>
    <t>7610000</t>
  </si>
  <si>
    <t>1090</t>
  </si>
  <si>
    <t>1000000</t>
  </si>
  <si>
    <t>1220</t>
  </si>
  <si>
    <t>1030</t>
  </si>
  <si>
    <t>Податок на доходи фізичних осіб від продажу нерухомого майна та надання нерухомості в оренду (суборенду), житловий найм (піднайм)</t>
  </si>
  <si>
    <t>На кінець періоду</t>
  </si>
  <si>
    <t>додаток 4</t>
  </si>
  <si>
    <t>Контроль</t>
  </si>
  <si>
    <t>спец. фонд</t>
  </si>
  <si>
    <t>24060300</t>
  </si>
  <si>
    <t>25000000</t>
  </si>
  <si>
    <t>Інші надходження</t>
  </si>
  <si>
    <t>21010000</t>
  </si>
  <si>
    <t xml:space="preserve">                                  Додаток №2 </t>
  </si>
  <si>
    <t xml:space="preserve">                                  до рішення районної ради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</si>
  <si>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 відомі</t>
  </si>
  <si>
    <t>Адміністративні збори та платежі, доходи від некомерційної господарської діяльності</t>
  </si>
  <si>
    <t>контроль</t>
  </si>
  <si>
    <t>Державний бюджет</t>
  </si>
  <si>
    <t xml:space="preserve">оплата праці </t>
  </si>
  <si>
    <t xml:space="preserve">комунальні послуги та енергоносії </t>
  </si>
  <si>
    <t>Код</t>
  </si>
  <si>
    <t>Всього</t>
  </si>
  <si>
    <t>Василівська с/р</t>
  </si>
  <si>
    <t>Вересівська с/р</t>
  </si>
  <si>
    <t>Вертокиївська с/р</t>
  </si>
  <si>
    <t>Відділ культури і туризму Житомирської районної державної адміністрації</t>
  </si>
  <si>
    <t>Управління агропромислового розвитку Житомирської районної державної адміністрації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</si>
  <si>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</si>
  <si>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</si>
  <si>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</si>
  <si>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</si>
  <si>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3035</t>
  </si>
  <si>
    <t>0813041</t>
  </si>
  <si>
    <t>0813042</t>
  </si>
  <si>
    <t>0813043</t>
  </si>
  <si>
    <t>0813044</t>
  </si>
  <si>
    <t>0813045</t>
  </si>
  <si>
    <t>0813046</t>
  </si>
  <si>
    <t>0813047</t>
  </si>
  <si>
    <t>0813104</t>
  </si>
  <si>
    <t>0813160</t>
  </si>
  <si>
    <t>1190,1200,1210</t>
  </si>
  <si>
    <t>24-7</t>
  </si>
  <si>
    <t>для  надання фінансової підтримки КНП "Центр первинної медико-санітарної допомоги " ЖРР на забезпечення лікарськими засобами та відповідними харчовими продуктами громадян, які страждають на рідкісні (орфанні) захворювання</t>
  </si>
  <si>
    <t>для надання фінансової підтримки КНП "Центр первинної медико-санітарної допомоги" ЖРР на придбання туберкуліну</t>
  </si>
  <si>
    <t xml:space="preserve">для співфінансування на придбання комп’ютерного томографа для КНП "ЦРЛ" </t>
  </si>
  <si>
    <t>на надання фінансової підтримки КНП "Центр первинної медико-санітарної допомоги" Житомирської районної ради на заробітну плату з нарахуваннями 0,5 ставки молодшої медичної сестри в ФАП с. Іванівка та 0,5 ставки молодшої медичної сестри в ФАП с. Барашівка</t>
  </si>
  <si>
    <t>фінансова підтримка КНП "ЦПМСД" ЖРР на придбання туберкуліну</t>
  </si>
  <si>
    <t>лікування хворих на цукровий та нецукровий діабет</t>
  </si>
  <si>
    <t>у тому числі на:</t>
  </si>
  <si>
    <t>оплату праці педагогічних працівників інклюзивно-ресурсних центрів</t>
  </si>
  <si>
    <t>оплату праці педагогічних працівників, залучених до занять з учнями, що знаходяться на тривалому лікуванні у протитуберкульозному диспансері</t>
  </si>
  <si>
    <t>оплату за проведення корекційно-розвиткових занять і придбання спеціальних засобів корекції для учнів інклюзивних класів (видатки споживання)</t>
  </si>
  <si>
    <t>КНП "Центр первинної медико-санітарної допомоги Житомирської районної ради" а забезпечення громадян селищної ради, які страждають на рідкісні (орфанні) захворювання лікарськими засобами та відповідними харчовими продуктами для спеціального дієтичного харчування</t>
  </si>
  <si>
    <t xml:space="preserve">від                            №  </t>
  </si>
  <si>
    <t xml:space="preserve">                                  від                   № </t>
  </si>
  <si>
    <t xml:space="preserve">            від                          №  </t>
  </si>
  <si>
    <t xml:space="preserve">від                №  </t>
  </si>
  <si>
    <t>на проведення спортивних заходів та змагань на території Високопічської сільської ради</t>
  </si>
  <si>
    <t>на підключення до мережі інтернет клубу с.Двірець Сінгурівської сільської ради</t>
  </si>
  <si>
    <t>на утримання загальноосвітніх шкіл Станишівської сільської ради згідно аудиторського звіту від 11.07.2018 № 06-08-10/003</t>
  </si>
  <si>
    <t>на заміну вхідних дверей в групі раннього віку "Кульбабка" Озерненського ЦРД "Сонячний теремок"</t>
  </si>
  <si>
    <t xml:space="preserve">на співфінансування у розмірі 10%  закупівлі персональних комп’ютерів для опорних закладів та закладів освіти I-III ступенів </t>
  </si>
  <si>
    <t xml:space="preserve">Програма оздоровлення території Житомирського району від сказу на 2016-2020 роки </t>
  </si>
  <si>
    <t>Програма використання коштів районного бюджету,
що надходять у порядку відшкодування втрат сільськогосподарського та лісогосподарського виробництва на 2019 рік</t>
  </si>
  <si>
    <t>Рішення районної ради (проект)</t>
  </si>
  <si>
    <t>Рішення районної ради від 29.04.2016 № 67</t>
  </si>
  <si>
    <t>Районна комплексна програма забезпечення пожежної безпеки та захисту населення і територій від надзвичайних ситуацій до 2021 року</t>
  </si>
  <si>
    <t>Рішення районної ради від 17.06.2015
№ 615</t>
  </si>
  <si>
    <t xml:space="preserve">на виконання комплексу робіт по інвентаризації земель, що знаходяться за межами населених пунктів Василівської сільської ради </t>
  </si>
  <si>
    <t>на поточний ремонт (заміну дверних блоків) вестибюлю Будинку культури с.Миролюбівка Житомирського району</t>
  </si>
  <si>
    <t>10000000</t>
  </si>
  <si>
    <t>Додаток № 1</t>
  </si>
  <si>
    <t>(грн.)</t>
  </si>
  <si>
    <t>х</t>
  </si>
  <si>
    <t>Податкові надходження</t>
  </si>
  <si>
    <t>1014081</t>
  </si>
  <si>
    <t>4081</t>
  </si>
  <si>
    <t>1014082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</si>
  <si>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</si>
  <si>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</si>
  <si>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</si>
  <si>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Заходи державної політики з питань сім'ї</t>
  </si>
  <si>
    <t>Первинна медична допомога населенню, що надається центрами первинної медичної (медико-санітарної) допомоги</t>
  </si>
  <si>
    <t>0200000</t>
  </si>
  <si>
    <t>0210000</t>
  </si>
  <si>
    <t>0212010</t>
  </si>
  <si>
    <t>0212100</t>
  </si>
  <si>
    <t>0212144</t>
  </si>
  <si>
    <t>2144</t>
  </si>
  <si>
    <t>Централізовані заходи з лікування хворих на цукровий та нецукровий діабет</t>
  </si>
  <si>
    <t>0213121</t>
  </si>
  <si>
    <t>Утримання та забезпечення діяльності центрів соціальних служб для сім’ї, дітей та молоді</t>
  </si>
  <si>
    <t>3121</t>
  </si>
  <si>
    <t>Утримання та навчально-тренувальна робота комунальних дитячо-юнацьких спортивних шкіл</t>
  </si>
  <si>
    <t>0215031</t>
  </si>
  <si>
    <t>0215032</t>
  </si>
  <si>
    <t>0215053</t>
  </si>
  <si>
    <t>0210180</t>
  </si>
  <si>
    <t>Інша діяльність у сфері державного управління</t>
  </si>
  <si>
    <t>Територіальному центру на відшкодування витрат  за надання соціальних послуг одиноким непрацездатним громадянам Оліївської сільської ради</t>
  </si>
  <si>
    <t>фінансова підтримка КНП "Центру первинної медико-санітарної допомоги" на придбання лікарського засобу "Брамітоб" для Ільченко Анни Сергіївни, жительки с. Сонячне, вул. Чапаєва, 3</t>
  </si>
  <si>
    <t>фінансова підтримка КНП "Центру первинної медико-санітарної допомоги" на придбання ноутбука для АЗПСМ с. Оліївка</t>
  </si>
  <si>
    <t>фінансова підтримка КНП "Центру первинної медико-санітарної допомоги" на проведення мережі Інтернет у ФП с. Кам’янка, ФП с. Довжик, ФП с. Сонячне</t>
  </si>
  <si>
    <t>фінансова підтримка КНП "Центру первинної медико-санітарної допомоги" на придбання крісла гінекологічного та холодильника в ФП с. Кам’янка</t>
  </si>
  <si>
    <t>УПСЗН на надання пільг у готівковій формі з оплати проїзду усіма видами транспорту загального користування на міських, приміських та міжміських маршрутах на 2019 рік</t>
  </si>
  <si>
    <t>на співфінансування в проведенні робіт поточного ремонту варильного цеху в Озерненській гімназії за адресою: 12443, Житомирський район, Житомирська область, смт. Озерне, вул. Авіаційна 1а</t>
  </si>
  <si>
    <t>0813033</t>
  </si>
  <si>
    <t>3033</t>
  </si>
  <si>
    <t>Компенсаційні виплати за пільговий проїзд автомобільним транспортом окремим категоріям громадян</t>
  </si>
  <si>
    <t xml:space="preserve">забезпечення належних санітарно-гігієнічних умов у приміщеннях закладів загальної середньої освіти  (видатки розвитку) </t>
  </si>
  <si>
    <t>в тому числі  на :</t>
  </si>
  <si>
    <t>оновлення матеріально-технічної бази загальноосвітніх навчальних закладів (видатки споживання)</t>
  </si>
  <si>
    <t>оновлення матеріально-технічної бази загальноосвітніх навчальних закладів (видатки розвитку)</t>
  </si>
  <si>
    <t>в тому числі цільові видатки на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</si>
  <si>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</si>
  <si>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</si>
  <si>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закупівлю дидактичних матеріалів для початкових класів  (видатки розвитку)</t>
  </si>
  <si>
    <t>закупівлю сучасних меблів для початкових класів  (видатки розвитку)</t>
  </si>
  <si>
    <t>закупівлю комп"ютерного обладнання, відповідного мультимедійного контенту для початкових класів  (видатки розвитку)</t>
  </si>
  <si>
    <t>підготовку та підвищення кваліфікації педпрацівників (видатки споживання)</t>
  </si>
  <si>
    <t>проведення заходів з оздоровлення та відпочинку</t>
  </si>
  <si>
    <t>Субвенція з місцевого бюджету на забезпечення якісної, сучасної, та доступної загальної середньої освіти "Нова українська школа" за рахунок відповідної субвенції з державного бюджету, всього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</si>
  <si>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</si>
  <si>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23-7</t>
  </si>
  <si>
    <t>41053400</t>
  </si>
  <si>
    <t>Субвенція з місцевого бюджету на виконання інвестиційних проектів</t>
  </si>
  <si>
    <t>Бюджет Високопічської сцльської ради</t>
  </si>
  <si>
    <t>на капітальний ремонт покрівлі Будинку культури села Іванківці Житомирського району Житомирської області</t>
  </si>
  <si>
    <t>на оплату послуг юриста, який веде справу по громадському пасовищу с. Миролюбівка</t>
  </si>
  <si>
    <t>на придбання відвалу комунального передньонавісного ширина 2500</t>
  </si>
  <si>
    <t>для співфінансування встановлення меморіалу військовослужбовцям, які загинули в АТО</t>
  </si>
  <si>
    <t>футбольній команді с. Троянів на придбання інвентарю, форми, обладнання для участі у чемпіонаті району</t>
  </si>
  <si>
    <t>Програма надання шефської допомоги військовим частинам  на 2019- 2020 р.р.</t>
  </si>
  <si>
    <t>Рішення районної ради від 21.12.2018 № 755</t>
  </si>
  <si>
    <t>Програма розвитку футболу в Житомирському районі на 2019-2020рр.</t>
  </si>
  <si>
    <t>Рішення районної ради від 03.11.2017 № 797</t>
  </si>
  <si>
    <t>Інші розрахунки</t>
  </si>
  <si>
    <t>співфінансування на придбання комп’ютерного томографа для КНП "Центральна районна лікарня" Житомирської районної ради</t>
  </si>
  <si>
    <t xml:space="preserve">фінансова підтримка КНП "Центру первинної медико-санітарної допомоги" на оплату праці молодшим медичним працівникам закладів охорони здоров'я, що розташовані на території Оліївської сільської ради </t>
  </si>
  <si>
    <t>на надання фінансової підтримки для КНП "Центр первинної медико-санітарної допомоги" Житомирської районної ради на придбання туберкуліну</t>
  </si>
  <si>
    <t>для співфінансування на придбання комп'ютерного томографа для КНП "Центральна районна лікарня" Житомирської районної ради</t>
  </si>
  <si>
    <t>Субвенція з місцевого бюджету за рахунок залишку коштів освітньої субвенції, що утворився на початок бюджетного періоду, всього</t>
  </si>
  <si>
    <t>Субвенція з місцевого бюджету на здійснення переданих видатків у сфері освіти за рахунок коштів освітньої субвенції, всього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</si>
  <si>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всього</t>
  </si>
  <si>
    <t>Субвенція з місцевого бюджету за рахунок залишку коштів медичної субвенції, що утворився на початок бюджетного періоду, всього</t>
  </si>
  <si>
    <t>Субвенція з місцевого бюджету на здійснення переданих видатків у сфері охорони здоров’я за рахунок коштів медичної субвенції, всього</t>
  </si>
  <si>
    <t>Рішення районної ради від 21.12.2018 № 762</t>
  </si>
  <si>
    <t>Рішення районної ради від 21.12.2018 №765</t>
  </si>
  <si>
    <t>Рішення районної ради від 21.12.2018 № 766</t>
  </si>
  <si>
    <t>Рішення районної ради від 21.12.2018 № 795</t>
  </si>
  <si>
    <t>Рішення районної ради від 21.12.2018 № 796</t>
  </si>
  <si>
    <t>Рішення районної ради від 21.12.2018 № 798</t>
  </si>
  <si>
    <t>Рішення районної ради від 21.12.2018 № 765</t>
  </si>
  <si>
    <t>Програма стимулювання населення, ОСББ, ЖБК Житомирського району щодо ефективного використання енергетичних ресурсів та енергозбереження на 2019-2020 роки</t>
  </si>
  <si>
    <t>0813087</t>
  </si>
  <si>
    <t>3087</t>
  </si>
  <si>
    <t>Надання допомоги на дітей, які виховуються у багатодітних сім'ях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</si>
  <si>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об"єкти, які підлягають приватизації, та земельних ділянок, які знаходяться на території Автономної Республіки Крим)</t>
  </si>
  <si>
    <t>Рішення-зміни(new)</t>
  </si>
  <si>
    <t>Субвенція з місцевого бюджету на здійснення переданих видатків у сфері освіти за рахунок коштів освітньої субвенції</t>
  </si>
  <si>
    <t>41050400</t>
  </si>
  <si>
    <t>заг. фонд</t>
  </si>
  <si>
    <t xml:space="preserve">Реструктурована сума заборгованості плати за землю                 </t>
  </si>
  <si>
    <t>41021100</t>
  </si>
  <si>
    <t>Додаток №1.1</t>
  </si>
  <si>
    <t>Додаток №4.1</t>
  </si>
  <si>
    <t>0212111</t>
  </si>
  <si>
    <t>0611090</t>
  </si>
  <si>
    <t>1100</t>
  </si>
  <si>
    <t>Надання допомоги при усиновленні дитини</t>
  </si>
  <si>
    <t>1513202</t>
  </si>
  <si>
    <t>2410000</t>
  </si>
  <si>
    <t>0824</t>
  </si>
  <si>
    <t>2414060</t>
  </si>
  <si>
    <t>4070</t>
  </si>
  <si>
    <t>2414070</t>
  </si>
  <si>
    <t>0828</t>
  </si>
  <si>
    <t>2414090</t>
  </si>
  <si>
    <t>2414100</t>
  </si>
  <si>
    <t>0829</t>
  </si>
  <si>
    <t>7618010</t>
  </si>
  <si>
    <t>0180</t>
  </si>
  <si>
    <t>7618800</t>
  </si>
  <si>
    <t>0320</t>
  </si>
  <si>
    <t>Відділ економічного розвитку і торгівлі Житомирської районної державної адміністрації</t>
  </si>
  <si>
    <t>0312140</t>
  </si>
  <si>
    <t>0312180</t>
  </si>
  <si>
    <t>0313131</t>
  </si>
  <si>
    <t>1513104</t>
  </si>
  <si>
    <t>13050400</t>
  </si>
  <si>
    <t>21010300</t>
  </si>
  <si>
    <t>1513033</t>
  </si>
  <si>
    <t>0921</t>
  </si>
  <si>
    <t>0610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</si>
  <si>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</si>
  <si>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Стах В.М.</t>
  </si>
  <si>
    <t>№ п/п</t>
  </si>
  <si>
    <t>Найменування сільських і селищної рад</t>
  </si>
  <si>
    <t>Дошкільна освіта</t>
  </si>
  <si>
    <t>Культура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</si>
  <si>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всього </t>
  </si>
  <si>
    <t>0117330</t>
  </si>
  <si>
    <t>7330</t>
  </si>
  <si>
    <t>Будівництво  інших об'єктів комунальної власності</t>
  </si>
  <si>
    <t>41053700</t>
  </si>
  <si>
    <t>на участь вихованців ДЮСШ ЖРО ВФСТ "Колос" с. Оліївка в районних обласних та Всеукраїнських змаганнях</t>
  </si>
  <si>
    <t xml:space="preserve">Субвенція з місцевого бюджету на співфінансування інвестиційних проектів
</t>
  </si>
  <si>
    <t xml:space="preserve"> на придбання комп'ютерного томографа для КНП "ЦРЛ" Житомирської районної ради </t>
  </si>
  <si>
    <t>виконання Програми забезпечення житлом дітей-сиріт, дітей, позбавлених батьківського піклування, та осіб з їх числа на 2018-2022 роки, всього</t>
  </si>
  <si>
    <t xml:space="preserve">                                                 Заступник голови районної ради                                                                          Стах В.М.                                            </t>
  </si>
  <si>
    <t>відділу освіти та національно-патріотичного виховання, молоді та спорту ЖРДА на придбання товарів для Сінгурівської ЗОШ І-ІІІ ст.</t>
  </si>
  <si>
    <t>відділу освіти та національно-патріотичного виховання, молоді та спорту ЖРДА на придбання товарів, вікон для Пряжівської ЗОШ І-ІІ ст.</t>
  </si>
  <si>
    <t>на надання фінансової підтримки КНП "ЦПМСД" Житомирської районної ради на придбання ноутбуків (38 000 грн.), меблів (17 573 грн.), рулетки ростоміра настінного 3 шт. (1000 грн.)</t>
  </si>
  <si>
    <t>на придбання ноутбуків ОНЗ "Левківська загальноосвітня школа І-ІІІ ступенів"</t>
  </si>
  <si>
    <t>для придбання стільців та спортінвентарю для Черемошнянської ЗОШ І-ІІ ст.</t>
  </si>
  <si>
    <t>на виготовлення проектно-кошторисної документації по капітальному ремонту даху м’якої покрівлі Троянівської ЗОШ І-ІІІ ступенів с. Троянів Житомирського району, Житомирської області</t>
  </si>
  <si>
    <t>на технічне переоснащення з заміною медико-технологічного обладнання рентгенкабінету поліклініки КНП "Центральна районна лікарня" Житомирської районної ради по шосе Сквирське,3 в с.Станишівка Житомирського району</t>
  </si>
  <si>
    <t>Надання допомоги у зв'язку з вагітністю і пологами</t>
  </si>
  <si>
    <t>1513041</t>
  </si>
  <si>
    <t>1513042</t>
  </si>
  <si>
    <t>Надання допомоги при народженні дитини</t>
  </si>
  <si>
    <t>1513043</t>
  </si>
  <si>
    <t>Надання допомоги на дітей, над якими встановлено опіку чи піклування</t>
  </si>
  <si>
    <t>1513044</t>
  </si>
  <si>
    <t>Надання допомоги на дітей одиноким матерям</t>
  </si>
  <si>
    <t>1513045</t>
  </si>
  <si>
    <t>Надання тимчасової державної допомоги дітям</t>
  </si>
  <si>
    <t>1513046</t>
  </si>
  <si>
    <t>на встановлення систем відеоспостереження на території Головенківської сільської ради</t>
  </si>
  <si>
    <t>на придбання металопластикових вікон та дверей для Новогуйвинського будинку культури</t>
  </si>
  <si>
    <t>на придбання сценічного взуття для клубу с.Калинівка Левківської сільської ради</t>
  </si>
  <si>
    <t>на організацію та проведення святкового заходу з нагоди 30-річчя від дня створення зразкового аматорського танцювального колективу "Юність " (с.Троянів)</t>
  </si>
  <si>
    <t>на придбання сценічних костюмів для клубу с.Вертокиївка</t>
  </si>
  <si>
    <t>на поточний ремонт вуличного освітлення в с.Рудня Пошта</t>
  </si>
  <si>
    <t>на оплату послуг автотранспорту для  участі дітей зразкового хореографічного колективу "Весняночка" БК с.Миролюбівка у фестивалі м. Чернівці</t>
  </si>
  <si>
    <t>Субвенція з місцевого бюджету на співфінансування інвестиційних проектів</t>
  </si>
  <si>
    <t>на встановлення вікон в групі раннього віку "Сонечко" Озерненського ЦРД "Сонячний теремок"</t>
  </si>
  <si>
    <t>на придбання будівельних матеріалів для ремонту кімнати у Новогуйвинському Будинку культури</t>
  </si>
  <si>
    <t xml:space="preserve">   Додаток №4</t>
  </si>
  <si>
    <t xml:space="preserve"> до рішення районної ради</t>
  </si>
  <si>
    <t xml:space="preserve">від 24.04.2019 № 861  </t>
  </si>
  <si>
    <t xml:space="preserve">                  Додаток №4</t>
  </si>
  <si>
    <t>від 24.04.2019 № 861</t>
  </si>
  <si>
    <t>Управління фінансів Житомирської районної державної адміністрації</t>
  </si>
  <si>
    <t>22010000</t>
  </si>
  <si>
    <t>22010300</t>
  </si>
  <si>
    <t>22012600</t>
  </si>
  <si>
    <t>16.</t>
  </si>
  <si>
    <t>17.</t>
  </si>
  <si>
    <t>Руднє-Городищенська с/р</t>
  </si>
  <si>
    <t>Надходження коштів від Державного фонду дорогоцінних металів і дорогоцінного каміння</t>
  </si>
  <si>
    <t xml:space="preserve">КОНТРОЛЬ </t>
  </si>
  <si>
    <t>різниця</t>
  </si>
  <si>
    <t>41020600</t>
  </si>
  <si>
    <t>41021000</t>
  </si>
  <si>
    <t>Дотації  з місцевих бюджетів іншим місцевим бюджетам</t>
  </si>
  <si>
    <t>41040000 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</si>
  <si>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</si>
  <si>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</si>
  <si>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41050000 </t>
  </si>
  <si>
    <t>Субвенції  з місцевих бюджетів іншим місцевим бюджетам</t>
  </si>
  <si>
    <t>41050300</t>
  </si>
  <si>
    <t>заклади охорони здоров’я</t>
  </si>
  <si>
    <t>0813082</t>
  </si>
  <si>
    <t>3082</t>
  </si>
  <si>
    <t>Податок на 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</si>
  <si>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Березівська с/р</t>
  </si>
  <si>
    <t>Головенківська с/р</t>
  </si>
  <si>
    <t>Заможненська с/р</t>
  </si>
  <si>
    <t>Іванівська с/р</t>
  </si>
  <si>
    <t>Коднянська с/р</t>
  </si>
  <si>
    <t>Левківська с/р</t>
  </si>
  <si>
    <t>Миролюбівська с/р</t>
  </si>
  <si>
    <t>Озерянківська с/р</t>
  </si>
  <si>
    <t>Оліївська с/р</t>
  </si>
  <si>
    <t>Садківська с/р</t>
  </si>
  <si>
    <t>Сінгурівська с/р</t>
  </si>
  <si>
    <t>Тетерівська с/р</t>
  </si>
  <si>
    <t>Пільгове медичне обслуговування осіб, які постраждали внаслідок Чорнобильської катастрофи</t>
  </si>
  <si>
    <t>3081</t>
  </si>
  <si>
    <t>0813081</t>
  </si>
  <si>
    <t>0813083</t>
  </si>
  <si>
    <t>3083</t>
  </si>
  <si>
    <t>Відділ житлово-комунально господарства та цивільного захисту населення Житомирської районної державної адміністрації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</si>
  <si>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</si>
  <si>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</si>
  <si>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41021200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</si>
  <si>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</si>
  <si>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Надання державної соціальної допомоги малозабезпеченим сім'ям</t>
  </si>
  <si>
    <t>1513048</t>
  </si>
  <si>
    <t>для співфінансування на придбання комп’ютерного томографа для КНП "Центральна районна лікарня" ЖРР</t>
  </si>
  <si>
    <t>КНП "ЦПМСД" Житомирського району на виготовлення ПКД "Капітальний ремонт приміщення Березинського ФП"</t>
  </si>
  <si>
    <t>на співфінансування закупівлі комп’ютерного томографа для КНП "Центральна районна лікарня" Житомирської районної ради</t>
  </si>
  <si>
    <t>Плата за надання адміністративних послуг</t>
  </si>
  <si>
    <t>Зміни обсягів депозитів і цінних паперів, що використовуються для управління ліквідністю</t>
  </si>
  <si>
    <t>видатки споживання</t>
  </si>
  <si>
    <t>Податок та збір на доходи фізичних осіб</t>
  </si>
  <si>
    <t>видатки розвитку</t>
  </si>
  <si>
    <t>06308521000</t>
  </si>
  <si>
    <t>06308524000</t>
  </si>
  <si>
    <t>06308525000</t>
  </si>
  <si>
    <t>06308526000</t>
  </si>
  <si>
    <t>06308529000</t>
  </si>
  <si>
    <t>06308401000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</si>
  <si>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</si>
  <si>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</si>
  <si>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21080000</t>
  </si>
  <si>
    <t>Iншi надходження</t>
  </si>
  <si>
    <t>Троянівській сільській раді для ремонту автомобіля Опель-Комбо, який знаходиться на балансі сільської ради</t>
  </si>
  <si>
    <t>Податок на  доходи фізичних осіб від продажу рухомого майна та надання рухомого майна в оренду (суборенду)</t>
  </si>
  <si>
    <t>3180</t>
  </si>
  <si>
    <t>оплата праці</t>
  </si>
  <si>
    <t>комунальні послуги та енергоносії</t>
  </si>
  <si>
    <t>загальний фонд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</si>
  <si>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</si>
  <si>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</si>
  <si>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</si>
  <si>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</si>
  <si>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</si>
  <si>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</si>
  <si>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</si>
  <si>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</si>
  <si>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</si>
  <si>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</si>
  <si>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</si>
  <si>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</si>
  <si>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</si>
  <si>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</si>
  <si>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</si>
  <si>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бюдж 2019 заг-фонд</t>
  </si>
  <si>
    <t xml:space="preserve"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
</t>
  </si>
  <si>
    <t>У тому числі бюджет розвитку</t>
  </si>
  <si>
    <t xml:space="preserve">Розподіл видатків районного бюджету на 2019 рік </t>
  </si>
  <si>
    <t xml:space="preserve">                 Інші субвенції з місцевих бюджетів районному бюджету на 2019 рік</t>
  </si>
  <si>
    <t>Фінансування районного бюджету на 2019 рік</t>
  </si>
  <si>
    <t xml:space="preserve">Додаток №3 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</si>
  <si>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</si>
  <si>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</si>
  <si>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</si>
  <si>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</si>
  <si>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</si>
  <si>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</si>
  <si>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</si>
  <si>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Програма забезпечення відкритості в діяльності Житомирської районної ради та Житомирської районної державної адміністрації на 2018-2020 роки</t>
  </si>
  <si>
    <t>Рішення районної ради від 22.12.2017 № 513</t>
  </si>
  <si>
    <t>Програма про кошти для забезпечення виконання депутатських повноважень та порядок їх використання на 2018-2020 роки</t>
  </si>
  <si>
    <t>Програма розвитку архівної справи та утримання комунальної установи "Трудовий архів" Житомирської районної ради на 2018-2020 роки</t>
  </si>
  <si>
    <t>Районна програма розвитку фізичної культури та спорту на 2017-2021 роки</t>
  </si>
  <si>
    <t>Районна програма щодо забезпечення громадян Житомирського району, які страждають на рідкісні (орфанні) захворювання, лікарськими засобами та відповідними харчовими продуктами для спеціального дієтичного харчування на 2016-2020 роки</t>
  </si>
  <si>
    <t>Програма економічного і соціального розвитку Житомирського району на 2018 рік</t>
  </si>
  <si>
    <t>Комплексна Програма профілактики злочинності у Житомирському районі на 2016-2020 роки</t>
  </si>
  <si>
    <t>Програма фінансування робіт з будівництва, реконструкції, ремонту та утримання комунальних, загального користування місцевого та державного значення автомобільних доріг  у Житомирському районі на 2016-2020 роки</t>
  </si>
  <si>
    <t>Програма національно-патріотичного виховання дітей та молоді в Житомирському районі на 2016-2020 роки</t>
  </si>
  <si>
    <t>Програма оздоровлення та відпочинку дітей на 2016-2020 роки</t>
  </si>
  <si>
    <t>Програма розвитку культури і туризму Житомирського району на 2016-2019 роки</t>
  </si>
  <si>
    <t>Районна комплексна Програма “Молодь і родина Житомирського району” на 2017 – 2020 роки</t>
  </si>
  <si>
    <t>Територіальному центру на відшкодування витрат за надання соціальних послуг одиноким непрацездатним громадян Станишівської сільської ради</t>
  </si>
  <si>
    <t>Відділу культури і туризму на оплату з нарахуваннями педагогічним працівникам філіалу с. Зарічани КЗ Новогуйвинської музичної школи</t>
  </si>
  <si>
    <t>УПСЗН на надання інших пільг окремим категоріям громадян Глибочицької сільської ради відповідно до законодавства</t>
  </si>
  <si>
    <t>УПСЗН на надання пільг окремим категоріям громадян Глибочицької сільської ради з оплати послуг зв'язку</t>
  </si>
  <si>
    <t>УПСЗН на відшкодування витрат за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</si>
  <si>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УПСЗН 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Глибочицької сільської ради </t>
  </si>
  <si>
    <t>Територіальному центру на відшкодування витрат за надання соціальних послуг одиноким непрацездатним громадянам Глибочицької сільської ради</t>
  </si>
  <si>
    <t>на заробітну плату з нарахуваннями тренерів-викладачів ДЮСШ ЖРО ВФСТ "Колос" АПК України</t>
  </si>
  <si>
    <t>Фінансова підтримка КНП ЦПМСД на медикаменти та інші виплати населенню</t>
  </si>
  <si>
    <t>на учбово-тренувальні збори, участь в змаганнях та оплату послуг (крім комунальних) ДЮСШ ЖРО ВФСТ "Колос" АПК України</t>
  </si>
  <si>
    <t>Програма стабілізації  і розвитку агропромислового комплексу Житомирського району на 2016-2020 роки</t>
  </si>
  <si>
    <t>Програма розвитку малого і середнього підприємництва у Житомирському районі на 2017-2020 роки</t>
  </si>
  <si>
    <t>Програма залучення інвестицій в економіку Житомирського району на 2016-2020 роки</t>
  </si>
  <si>
    <t>Районна (комплексна) цільова соціальна Програма забезпечення житлом дітей-сиріт, дітей позбавлених батьківського піклування, та осіб з їх числа на 2018-2022  роки</t>
  </si>
  <si>
    <t>Програма утримання житлово-комунального господарства та благоустрою населених пунктів Житомирського району на 2018-2020 роки</t>
  </si>
  <si>
    <t>Районна Програма по забезпеченню здійснення Житомирською  райдержадміністрацією повноважень, визначених законами України та делегованих Житомирською районною радою на 2018-2020 роки</t>
  </si>
  <si>
    <t>Рішення районної ради від 22.12.2017 № 514</t>
  </si>
  <si>
    <t>Рішення районної ради від 03.11.2017 № 485</t>
  </si>
  <si>
    <t>Рішення районної ради від 29.12.2016 №286</t>
  </si>
  <si>
    <t>Рішення районної ради від 29.04.2016 № 68</t>
  </si>
  <si>
    <t>Рішення районної ради від 22.12.2017 № 512</t>
  </si>
  <si>
    <t>Районна цільова соціальна програма протидії захворюванню на туберкульоз на 2017-2021 роки</t>
  </si>
  <si>
    <t>Рішення районної ради від 04.08.2017 № 429</t>
  </si>
  <si>
    <t>Рішення районної ради від 29.04.16 № 66</t>
  </si>
  <si>
    <t>Рішення районної ради від 29.12.2016 № 286</t>
  </si>
  <si>
    <t>Рішення районної ради від 04.11.2016 № 178</t>
  </si>
  <si>
    <t>Рішення районної ради від 29.07.2016 р. № 133</t>
  </si>
  <si>
    <t>Рішення районної ради від 27.01.2016 № 34</t>
  </si>
  <si>
    <t>Рішення районної ради від 29.07.2016 № 121</t>
  </si>
  <si>
    <t>Рішення районної ради від 27.02.2017 № 303</t>
  </si>
  <si>
    <t>Рішення районної ради від 29.04.2016 № 70</t>
  </si>
  <si>
    <t>Рішеннярайонної ради від 15.12.2015 № 214</t>
  </si>
  <si>
    <t>Рішення районної ради від 29.07.2016 № 122</t>
  </si>
  <si>
    <t>Рішення районної ради від 22.12.2017 № 516</t>
  </si>
  <si>
    <t>Рішення районної ради від 14.03.2018 № 568</t>
  </si>
  <si>
    <t>Рішення районної ради від 04.11.2016 №178</t>
  </si>
  <si>
    <t>Рішення районної ради від 03.11.2017 № 486</t>
  </si>
  <si>
    <t>Фінансова підтримка КНП "Центру  первинної медико-санітарної допомоги" на придбання медикаментів для Ільченко Анни Сергіївни, жительки с. Сонячне, вул. Чапаєва, 3, хворої на орфанні захворювання (226 300 грн.); на придбання харчування хворого на фенілкетонурію Кондратенка Дмитра Олеговича, жителя с. Сонячне, вул. І. Сікорського, 15 (412 500  грн.)</t>
  </si>
  <si>
    <t>Рішення районної ради від 27.02.2017 № 302</t>
  </si>
  <si>
    <t xml:space="preserve">Х </t>
  </si>
  <si>
    <t>УСЬОГО</t>
  </si>
  <si>
    <t>на оплату послуг по наданню доступу до глобальної мережі інтернет для Сінгурівської ЗОШ І-ІІІ ст.</t>
  </si>
  <si>
    <t>на придбання залізобетонного паркану для Озерянківської ЗОШ І-ІІ ст.</t>
  </si>
  <si>
    <t xml:space="preserve">КНП ЦПМСД на поточний ремонт приміщення амбулаторії загальної практики сімейної медицини с. Вертокиївка </t>
  </si>
  <si>
    <t>на заробітну плату повару Василівської ЗОШ І-ІІІ ступенів</t>
  </si>
  <si>
    <t>на придбання світильників стельових накладних для Садківської ЗОШ І-ІІІ ст.</t>
  </si>
  <si>
    <t>на придбання мікроскопа для Садківської ЗОШ І-ІІІ ст</t>
  </si>
  <si>
    <t>КНП ЦПМСД на придбання виробів медичного призначення, канцтоварів, кушетки медичної та меблів для АЗПСМ с. Садки</t>
  </si>
  <si>
    <t>Програма фінансової підтримки КНП ЦРЛ Житомирської районної ради на 2019 рік</t>
  </si>
  <si>
    <t>0212142</t>
  </si>
  <si>
    <t>2142</t>
  </si>
  <si>
    <t>Програми і централізовані заходи боротьби з туберкульозом</t>
  </si>
  <si>
    <t>0212152</t>
  </si>
  <si>
    <t>2152</t>
  </si>
  <si>
    <t>Інші програми та заходи у сфері охорони здоров’я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</si>
  <si>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</si>
  <si>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</si>
  <si>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</si>
  <si>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на підвіз учнів та вчителів  загальноосвітніх шкіл Станишівської сільської ради згідно аудиторського звіту від 11.07.2018 № 06-08-10/003</t>
  </si>
  <si>
    <t>на капітальний ремонт доріг комунальної власності Іванівської сільської ради</t>
  </si>
  <si>
    <t xml:space="preserve">на виплату заробітної плати з нарахуваннями апарату управління Заможненської сільської ради </t>
  </si>
  <si>
    <t>Розподіл коштів бюджету розвитку за об"єктами у 2019 році</t>
  </si>
  <si>
    <t>Код Програмної класифікації видатків та кредитування  місцевих бюджетів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</si>
  <si>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місцевих бюджетів</t>
  </si>
  <si>
    <t>Найменування об"єкта відповідно до проектно-кошторисної документації</t>
  </si>
  <si>
    <t>Строк реалізації об"єкта (рік початку і завершення)</t>
  </si>
  <si>
    <t>Загальна вартість об"єкта, гривень</t>
  </si>
  <si>
    <t xml:space="preserve">Обсяг видатків бюджету розвитку, гривень </t>
  </si>
  <si>
    <t>Рівень будівельної готовності об"єкта на кінець бюджетного періоду, %</t>
  </si>
  <si>
    <t>1</t>
  </si>
  <si>
    <t>2</t>
  </si>
  <si>
    <t>3</t>
  </si>
  <si>
    <t>Додаток 7</t>
  </si>
  <si>
    <t>на реконструкцію даху з м’якої покрівлі на шатрову Троянівської ЗОШ І-ІІІ ст. с.Троянів Житомирського району, Житомирської області</t>
  </si>
  <si>
    <t>Районна Програма соціальної підтримки учасників АТО, ООС та членів їх сімей на 2019-2021 роки</t>
  </si>
  <si>
    <t>Рішення районної ради від 21.12.2018 № 759</t>
  </si>
  <si>
    <t>Рішення районної ради від 21.12.2018 № 761</t>
  </si>
  <si>
    <t>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</si>
  <si>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 надання пільг окремим категоріям громадян з оплати послуг зв’язку</t>
  </si>
  <si>
    <t>Трансферти з інших місцевих бюджетів</t>
  </si>
  <si>
    <t>спеціального фонду на:</t>
  </si>
  <si>
    <t>загального фонду на:</t>
  </si>
  <si>
    <t>найменування трансферту</t>
  </si>
  <si>
    <t xml:space="preserve">Код </t>
  </si>
  <si>
    <t>Найменування бюджету - одержувача/надавача міжбюджетного трансферту</t>
  </si>
  <si>
    <t xml:space="preserve"> заклади освіти</t>
  </si>
  <si>
    <t>06201100000</t>
  </si>
  <si>
    <t>Субвенції</t>
  </si>
  <si>
    <t>Трансферти іншим бюджетам</t>
  </si>
  <si>
    <t>медичне обслуговування внутрішньо переміщених осіб</t>
  </si>
  <si>
    <t>Програма фінансової підтримки діяльності Житомирської районної організації ветеранів України на 2016 – 2018 роки, рішення районної ради від 18.12.2015     № 14</t>
  </si>
  <si>
    <t>1010</t>
  </si>
  <si>
    <t>0910</t>
  </si>
  <si>
    <t>1511060</t>
  </si>
  <si>
    <t>1513011</t>
  </si>
  <si>
    <t>1513021</t>
  </si>
  <si>
    <t>14060000</t>
  </si>
  <si>
    <t>Внутрішні податки на товари та послуги</t>
  </si>
  <si>
    <t>Неподаткові надходження</t>
  </si>
  <si>
    <t>Адміністративні штрафи та інші санкції</t>
  </si>
  <si>
    <t>Інші неподаткові надходження</t>
  </si>
  <si>
    <t>дод.3 ріш.</t>
  </si>
  <si>
    <t>0110170</t>
  </si>
  <si>
    <t>0170</t>
  </si>
  <si>
    <t>0111</t>
  </si>
  <si>
    <t>0133</t>
  </si>
  <si>
    <t>0118600</t>
  </si>
  <si>
    <t>8600</t>
  </si>
  <si>
    <t>22080400</t>
  </si>
  <si>
    <t>Кошти, що надходять з інших бюджетів</t>
  </si>
  <si>
    <t>24060000</t>
  </si>
  <si>
    <t>06308509000</t>
  </si>
  <si>
    <t>06308511000</t>
  </si>
  <si>
    <t>06308513000</t>
  </si>
  <si>
    <t>06308515000</t>
  </si>
  <si>
    <t>06308517000</t>
  </si>
  <si>
    <t>06308520000</t>
  </si>
  <si>
    <t>06545000000</t>
  </si>
  <si>
    <t>06544000000</t>
  </si>
  <si>
    <t>06530000000</t>
  </si>
  <si>
    <t>06508000000</t>
  </si>
  <si>
    <t>7350</t>
  </si>
  <si>
    <t>Розроблення схем планування та забудови територій (містобудівної документації)</t>
  </si>
  <si>
    <t>Надходження від плати за послуги, що надаються бюджетними установами згідно із законодавством</t>
  </si>
  <si>
    <t>21050000</t>
  </si>
  <si>
    <t>Надходження від штрафів та фінансових санкцій</t>
  </si>
  <si>
    <t>На початок періоду</t>
  </si>
  <si>
    <t>Ліквідація іншого забруднення навколишнього природного середовища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</si>
  <si>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</si>
  <si>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Троянівська с/р</t>
  </si>
  <si>
    <t>Новогуйвинська с/р</t>
  </si>
  <si>
    <t xml:space="preserve">    Заступник голови районної ради</t>
  </si>
  <si>
    <t>11011200</t>
  </si>
  <si>
    <t>41021800</t>
  </si>
  <si>
    <t>Додаткова дотація з державного бюджету місцевим бюджетам на оплату праці працівників бюджетних установ</t>
  </si>
  <si>
    <t>Високопічська с/р</t>
  </si>
  <si>
    <t>Глибочанська с/р</t>
  </si>
  <si>
    <t>Глибочицька с/р</t>
  </si>
  <si>
    <t>Стабілізаційна дотація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</si>
  <si>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</si>
  <si>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</si>
  <si>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</si>
  <si>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 xml:space="preserve">Інші заходи у сфері сільського господарства 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</si>
  <si>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</si>
  <si>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Плата за ліцензії на певні види господарської діяльності</t>
  </si>
  <si>
    <t>23030300</t>
  </si>
  <si>
    <t>11010600</t>
  </si>
  <si>
    <t>Податок надоходи фізичних осіб у вигляді виграшів або призів, отриманих внаслідок проведення конкурсів та інших розіграшів, виграшів а тазартні ігри</t>
  </si>
  <si>
    <t>3718700</t>
  </si>
  <si>
    <t>8700</t>
  </si>
  <si>
    <t>9770</t>
  </si>
  <si>
    <t>Інші субвенції з місцевого бюджету</t>
  </si>
  <si>
    <t>7610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</si>
  <si>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</si>
  <si>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</si>
  <si>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</si>
  <si>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</si>
  <si>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</si>
  <si>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Надання державної соціальної допомоги особам з інвалідністю з дитинства та дітям з інвалідністю</t>
  </si>
  <si>
    <t>Відділ освіти, національно-патріотичного виховання молоді та спорту Житомирської районної державної адміністрації</t>
  </si>
  <si>
    <t>Програма економічного і соціального розвитку Житомирського району на 2019 рік (проект)</t>
  </si>
  <si>
    <t xml:space="preserve">Рішення районної ради від 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</si>
  <si>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</si>
  <si>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0900000</t>
  </si>
  <si>
    <t>Служба у справах дітей Житомирської районної адміністрації</t>
  </si>
  <si>
    <t>0910000</t>
  </si>
  <si>
    <t>0913112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</si>
  <si>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</si>
  <si>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</si>
  <si>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</si>
  <si>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</si>
  <si>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</si>
  <si>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</si>
  <si>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1218110</t>
  </si>
  <si>
    <t>8110</t>
  </si>
  <si>
    <t>Заходи запобігання та ліквідації надзвичайних ситуацій та наслідків стихійного лиха</t>
  </si>
  <si>
    <t>3011,3012,3013,3014,3015</t>
  </si>
  <si>
    <t>0813011</t>
  </si>
  <si>
    <t>до рішення районної ради</t>
  </si>
  <si>
    <t>41053900</t>
  </si>
  <si>
    <t>додаток 8</t>
  </si>
  <si>
    <t>викл.</t>
  </si>
  <si>
    <t>0813192</t>
  </si>
  <si>
    <t xml:space="preserve">Обсяги міжбюджетних трансфертів (іншої субвенції) на утримання закладів дошкільної освіти та культури на 2019 рік </t>
  </si>
  <si>
    <t>Рішення районної ради від 29.07.2016  № 133</t>
  </si>
  <si>
    <t>41052900</t>
  </si>
  <si>
    <t>41052600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</si>
  <si>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</si>
  <si>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фінансова підтримка КНП "ЦПМСД" ЖРР на оплату праці з нарахуваннями молодшому медичному працівнику</t>
  </si>
  <si>
    <t>для КНП "Центральна районна лікання" Житомирської районної ради для співфінансування на придбання комп’ютерного томографа</t>
  </si>
  <si>
    <t>0813050</t>
  </si>
  <si>
    <t>3050</t>
  </si>
  <si>
    <t>22012500</t>
  </si>
  <si>
    <t>Податок на доходи фізичних осіб від отриманого платником доходу внаслідок прийняття ним у спадщину майна, коштів, майнових чи немайнових прав</t>
  </si>
  <si>
    <t>11011600</t>
  </si>
  <si>
    <t>Реалізація програм в галузі сільського господарства</t>
  </si>
  <si>
    <t>2700000</t>
  </si>
  <si>
    <t>2710000</t>
  </si>
  <si>
    <t>2717610</t>
  </si>
  <si>
    <t>3700000</t>
  </si>
  <si>
    <t>3710000</t>
  </si>
  <si>
    <t>Фіксований податок на доходи фізичних осіб від зайняття підприємницькою діяльністю</t>
  </si>
  <si>
    <t>11011100</t>
  </si>
  <si>
    <t>Податок з доходів фізичних осіб від інших видів діяльності</t>
  </si>
  <si>
    <t>Загальний фонд</t>
  </si>
  <si>
    <t>Разом</t>
  </si>
  <si>
    <t>Надходження від орендної плати за користування цілісним  майновим комплексом та іншим майном, що перебуває в комунальній власності</t>
  </si>
  <si>
    <t>Плата за послуги, що надаються бюджетними установами згідно з їх основною діяльністю</t>
  </si>
  <si>
    <t>3192</t>
  </si>
  <si>
    <t>41050100</t>
  </si>
  <si>
    <t>41050200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</si>
  <si>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</si>
  <si>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Програма виконання заходів Державної соціальної програми "Національний план дій щодо реалізації Конвенції ООН про права дитини" на період до 2021 року</t>
  </si>
  <si>
    <t>на надання фінансової підтримки Комунальному Некомерційному Підприємству "Центр первинної медико-санітарної допомоги"  Житомирської районної ради (у тому числі орфанні захворювання 238 080,00 грн)</t>
  </si>
  <si>
    <t xml:space="preserve">на надання пільг окремим категоріям громадян </t>
  </si>
  <si>
    <t>33000000</t>
  </si>
  <si>
    <t>Надання допомоги по догляду за особами з інвалідністю I чи II групи внаслідок психічного розладу</t>
  </si>
  <si>
    <t>0813230</t>
  </si>
  <si>
    <t>Дотації з державного бюджету місцевим бюджетам</t>
  </si>
  <si>
    <t>Субвенції  з державного бюджету місцевим бюджетам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</si>
  <si>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                                             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</si>
  <si>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</si>
  <si>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06100000000</t>
  </si>
  <si>
    <t>06</t>
  </si>
  <si>
    <t>060170</t>
  </si>
  <si>
    <t>1170</t>
  </si>
  <si>
    <t>Забезпечення діяльності інклюзивно-ресурсних центрів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</si>
  <si>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</si>
  <si>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</si>
  <si>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в тому числі цільові видатки на:</t>
  </si>
  <si>
    <t>УПСЗН 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Оліївської сільської ради</t>
  </si>
  <si>
    <t>УПСЗН на надання інших пільг окремим категоріям громадян Оліївської сільської ради відповідно до законодавства</t>
  </si>
  <si>
    <t>УПСЗН на надання пільг окремим категоріям громадян Оліївської сільської ради з оплати послуг зв'язку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</si>
  <si>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</si>
  <si>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</si>
  <si>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0600000</t>
  </si>
  <si>
    <t>0610000</t>
  </si>
  <si>
    <t xml:space="preserve">Методичне забезпечення діяльності навчальних закладів </t>
  </si>
  <si>
    <t>0611150</t>
  </si>
  <si>
    <t>1150</t>
  </si>
  <si>
    <t>3230</t>
  </si>
  <si>
    <t>0810000</t>
  </si>
  <si>
    <t>0800000</t>
  </si>
  <si>
    <t>Управління праці та соціального захисту Житомирської районної державної адміністрації</t>
  </si>
  <si>
    <t>41020700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</si>
  <si>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</si>
  <si>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Надання пільг на оплату житлово комунальних послуг окремим категоріям громадян відповідно до законодавства</t>
  </si>
  <si>
    <t>0813012</t>
  </si>
  <si>
    <t>3012</t>
  </si>
  <si>
    <t>3021,3022,3023,3024,3025</t>
  </si>
  <si>
    <t>Утримання та розвиток автомобільних доріг та дорожньої інфраструктури за рахунок субвенції з державного бюджету</t>
  </si>
  <si>
    <t>0217368</t>
  </si>
  <si>
    <t>7368</t>
  </si>
  <si>
    <t>Виконання інвестиційних проектів за рахунок субвенцій з інших бюджетів</t>
  </si>
  <si>
    <t>0813049</t>
  </si>
  <si>
    <t>3049</t>
  </si>
  <si>
    <t>Відшкодування послуги з догляду за дитиною до трьох років "муніципальна няня"</t>
  </si>
  <si>
    <t>0813086</t>
  </si>
  <si>
    <t>3086</t>
  </si>
  <si>
    <t>Програма економічного і соціального розвитку Житомирського району на 2019 рік</t>
  </si>
  <si>
    <t>26-7</t>
  </si>
  <si>
    <t>КНП "Центральна районна лікарня Житомирської районної ради"на забезпечення громадян селищної ради, які страждають на рідкісні (орфанні) захворювання лікарськими засобами та відповідними харчовими продуктами для спеціального дієтичного харчування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</si>
  <si>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 (на зимове утримання місцевих доріг)</t>
  </si>
  <si>
    <t>співфінансування на придбання комп’ютерного томографа для КНП "Центральна районна лікарня" ЖРР</t>
  </si>
  <si>
    <t>на пільгове медичне обслуговування осіб, які постраждали внаслідок Чорнобильської катастрофи</t>
  </si>
  <si>
    <t>на виконання Регіональної (комплексної) цільової соціальної Програми забезпечення житлом дітей-сиріт, дітей, позбавлених батьківського піклування, та осіб з їх числа на 2018- 2022 роки</t>
  </si>
  <si>
    <t>на виконання Районної (комплексної) цільової соціальної Програми забезпечення житлом дітей-сиріт, дітей позбавлених батьківського піклування, та осіб з їх числа на 2018-2022  роки (на капітальний ремонт житла у с. Висока Піч, яке належить особі з числа дітей, позбавлених батьківського піклування Ессауловій А.В. та Ессаулову С.Р.)</t>
  </si>
  <si>
    <t>на виконання Районної (комплексної) цільової соціальної Програми забезпечення житлом дітей-сиріт, дітей позбавлених батьківського піклування, та осіб з їх числа на 2018-2022  роки (на придбання житла,  особі з числа дітей, позбавлених батьківського піклування Мамренко Л.Ж., походження якої с. Іванівка)</t>
  </si>
  <si>
    <t xml:space="preserve">              Додаток №4</t>
  </si>
  <si>
    <t xml:space="preserve">            Додаток № 5</t>
  </si>
  <si>
    <t>Рішення районної ради від 21.12.2018 № 752</t>
  </si>
  <si>
    <t>Рішення районної ради від 21.12.2018 № 758</t>
  </si>
  <si>
    <t>КУ ТСО Житомирської районної ради на придбання стоматологічних матеріалів в ФП с. Кам’янка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</si>
  <si>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</si>
  <si>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</si>
  <si>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</si>
  <si>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3031,3032,3033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</si>
  <si>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</si>
  <si>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</si>
  <si>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</si>
  <si>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</si>
  <si>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0443</t>
  </si>
  <si>
    <t>інші субвенції з місцевого бюджету, всього</t>
  </si>
  <si>
    <t>0813035</t>
  </si>
  <si>
    <t>Компенсаційні виплати за пільговий проїзд окремих категорій громадян на залізничному транспорті</t>
  </si>
  <si>
    <t>1217640</t>
  </si>
  <si>
    <t>7640</t>
  </si>
  <si>
    <t>0470</t>
  </si>
  <si>
    <t>Заходи з енергозбереження</t>
  </si>
  <si>
    <t>1218313</t>
  </si>
  <si>
    <t>8313</t>
  </si>
  <si>
    <t>0513</t>
  </si>
  <si>
    <t>2717693</t>
  </si>
  <si>
    <t>7693</t>
  </si>
  <si>
    <t>0490</t>
  </si>
  <si>
    <t>Інші заходи, пов'язані з економічною діяльністю</t>
  </si>
  <si>
    <t>1218830</t>
  </si>
  <si>
    <t>Районна цільова програма підтримки індивідуального житлового будівництва на селі „Власний дім” на період 2017-2020 років, рішення районної ради від 04.08.2017 № 430</t>
  </si>
  <si>
    <t>8830</t>
  </si>
  <si>
    <t>Довгострокові кредити індивідуальним забудовникам житла на селі та їх повернення</t>
  </si>
  <si>
    <t>1218831</t>
  </si>
  <si>
    <t>8831</t>
  </si>
  <si>
    <t>Надання кредиту</t>
  </si>
  <si>
    <t>41051600</t>
  </si>
  <si>
    <t>Субвенція з місцевого бюджету за рахунок залишку коштів медичної субвенції, що утворився на початок бюджетного періоду</t>
  </si>
  <si>
    <t>41051400</t>
  </si>
  <si>
    <t>Субвенція з місцевого бюджету на забезпечення якісної, сучасної, та доступної загальної середньої освіти "Нова українська школа" за рахунок відповідної субвенції з державного бюджету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</si>
  <si>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</si>
  <si>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</si>
  <si>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1014060</t>
  </si>
  <si>
    <t>Облаштування благоустрою кладовища в с.Сінгури</t>
  </si>
  <si>
    <t>Придбання спортивних костюмів для ФК "Левків"</t>
  </si>
  <si>
    <t>Придбання музичної апаратури для клубу у с.Калинівка</t>
  </si>
  <si>
    <t>Придбання сценічних костюмів для клубу у с.Клітчин</t>
  </si>
  <si>
    <t>Придбання дитячого майданчика для с.Калинівка</t>
  </si>
  <si>
    <t>Придбання дитячої постільної білизни для Левківського ДНЗ "Золотий ключик"</t>
  </si>
  <si>
    <t>Технічне переоснащення з заміною медико-технологічного обладнання рентгенкабінету поліклініки КНП "Центральна районна лікарня" Житомирської районної ради по шосе Сквирське, 3 в с.Станишівка Житомирського району</t>
  </si>
  <si>
    <t>Поточний ремонт вуличного освітлення на території РСТ масиву "Давидівський" Іванівської сільської ради Житомирського району</t>
  </si>
  <si>
    <t>Придбання та встановлення спортивно-тренажерного майданчика в смт Озерне для КУ "Новогуйвинська комплексна дитячо-юнацька спортивна школа" Житомирської районної ради</t>
  </si>
  <si>
    <t>Придбання та встановлення дитячого спортивно-ігрового майданчика в смт Озерне  для КУ "Новогуйвинська комплексна дитячо-юнацька спортивна школа" Житомирської районної ради</t>
  </si>
  <si>
    <t>на технічне переоснащення з заміною медико-технологічного обладнання рентгенкабінету поліклініки  КНП "Центральна районна лікарня" Житомирської районної ради по шосе Сквирське, 3 в с. Станишівка Житомирського району</t>
  </si>
  <si>
    <t>на проведення спортивних заходів та змагань для Іванівської сільської ради</t>
  </si>
  <si>
    <t>на придбання та облаштування осередку художньо-творчої діяльності (3120), ширми для лялькового театру (4997), набори ляльок (1800) для Новогуйвинської гімназії</t>
  </si>
  <si>
    <t>на придбання  тренажерного обладнання (45000) та спортивного обладнання (50000) для центру реабілітації молоді із числа військослужбовців, учасників АТО та інвалідів в смт Озерне КУ "Новогуйвинська комплексна дитячо-юнацька спортивна школа" Житомирської районної ради</t>
  </si>
  <si>
    <t>на придбання комп"ютерної техніки для педіатричного кабінету АЗПСМ смт Озерне КНП "Центр первинної медико-санітарної допомоги" Житомирської районної ради</t>
  </si>
  <si>
    <t>на облаштування благоустрою кладовища в с. Сінгури</t>
  </si>
  <si>
    <t>0617321</t>
  </si>
  <si>
    <t>Будівництво освітніх установ та закладів</t>
  </si>
  <si>
    <t>Співфінансування на забезпечення належних санітарно-гігієнічних умов у приміщенні ОНЗ "Левківська загальноосвітня школа І-ІІІ ступенів"</t>
  </si>
  <si>
    <t>На придбання господарських товарів для поточного ремонту приміщень ОНЗ "Левківська загальноосвітня школа І-ІІІ ступенів"</t>
  </si>
  <si>
    <t>На придбання меблів для ОНЗ "Левківська загальноосвітня школа І-ІІІ ступенів"</t>
  </si>
  <si>
    <t>На придбання табличок на кабінети ОНЗ "Левківська загальноосвітня школа І-ІІІ ступенів"</t>
  </si>
  <si>
    <t>На придбання жалюзі в ОНЗ "Левківська загальноосвітня школа І-ІІІ ступенів"</t>
  </si>
  <si>
    <t>відділу освіти та національно-патріотичного виховання, молоді та спорту ЖРДА на придбання фарби для Вертокиївської ЗОШ І-ІІІ ступенів</t>
  </si>
  <si>
    <t>для придбання електротоварів для функціонування вуличного освітлення на території Березівської ЗОШ І-ІІІ ст.</t>
  </si>
  <si>
    <t>для Сінгурівського МНВК на здійснення виробничого навчання учнів 10-х класів Глибочицького та Студеницького ліцеїв</t>
  </si>
  <si>
    <t>УПСЗН Житомирського району на проїзд один раз у рік по Україні, громадянам, які постраждали внаслідок аварії на ЧАЕС</t>
  </si>
  <si>
    <t>фінансова підтримка КНП ЦПМСД на утримання молодшого персоналу медичних закладів, які знаходяться на території Глибочицької сільської ради (0,5 ст. молодшого персоналу ФП Гадзинка, 0,5 ст. молодшого персоналу ФП с. Березина)</t>
  </si>
  <si>
    <t>Відділу освіти національно-патріотичного виховання молоді та спорту Житомирської РДА на придбання мотокоси для Озерянківської ЗОШ І-ІІ ст.</t>
  </si>
  <si>
    <t>Відділу освіти національно-патріотичного виховання молоді та спорту Житомирської РДА на придбання вікон та дверей для Озерянківської ЗОШ І-ІІ ст.</t>
  </si>
  <si>
    <t xml:space="preserve">на співфінансування закупівлі комп'ютерного томографа для КНП "Центральна районна лікарня" Житомирської районної ради </t>
  </si>
  <si>
    <t>Іванівській ЗОШ І-ІІІ ступенів для придбання морозильної камери</t>
  </si>
  <si>
    <t>Барашівській ЗОШ І-ІІІ ступенів для придбання бензопили</t>
  </si>
  <si>
    <t>Барашівській ЗОШ І-ІІІ ступенів для придбання 4 класних дошок</t>
  </si>
  <si>
    <t>Комунальному некомерційному підприємству "Центральна районна лікарня" Житомирської районної ради  на придбання комп'ютерного томографа</t>
  </si>
  <si>
    <t>на виконання робіт по гідродинамічному очищенню каналізаційної мережі та відстійника, що знаходиться на території ОНЗ "Левківська загальноосвітня школа І-ІІІ ступенів"</t>
  </si>
  <si>
    <t>на провелення поточного ремонту та придбання автозапчастин для автобуса ОНЗ "Левківська загальноосвітня школа І-ІІІ ступенів", який здійснює перевезення учнів та вчителів</t>
  </si>
  <si>
    <t xml:space="preserve">Комплексна програма розвитку цивільного захисту населення Житомирського району на 2019-2020 роки </t>
  </si>
  <si>
    <t xml:space="preserve">Програма надання окремих видів пільг громадянам Житомирського району на 2019 рік </t>
  </si>
  <si>
    <t xml:space="preserve">Програма економічного і соціального розвитку Житомирського району на 2019 рік </t>
  </si>
  <si>
    <t xml:space="preserve">Програма  розвитку та удосконалення організації харчування в загальноосвітніх навчальних закладах Житомирського району на 2019 рік </t>
  </si>
  <si>
    <t xml:space="preserve">Програма фінансової підтримки КНП ЦПМСД Житомирської районної ради на 2019 рік </t>
  </si>
  <si>
    <t>Бюджет Березівської сільської ради</t>
  </si>
  <si>
    <t>Бюджет Василівської сільської ради</t>
  </si>
  <si>
    <t>Бюджет Вертокиївської сільської ради</t>
  </si>
  <si>
    <t>Бюджет Високопічської сільської ради</t>
  </si>
  <si>
    <t>Бюджет Глибочанської сільської ради</t>
  </si>
  <si>
    <t>Бюджет Головенківської сільської ради</t>
  </si>
  <si>
    <t>Бюджет Заможненської сільської ради</t>
  </si>
  <si>
    <t>Бюджет Іванівської сільської ради</t>
  </si>
  <si>
    <t>Бюджет Коднянської сільської ради</t>
  </si>
  <si>
    <t>Бюджет Левківської сільської ради</t>
  </si>
  <si>
    <t>Бюджет Миролюбівської сільської ради</t>
  </si>
  <si>
    <t>Бюджет Озерянківської сільської ради</t>
  </si>
  <si>
    <t>Бюджет Руднє-Городищенської сільської ради</t>
  </si>
  <si>
    <t>Бюджет Садківської сільської ради</t>
  </si>
  <si>
    <t>Бюджет Сінгурівської сільської ради</t>
  </si>
  <si>
    <t>Бюджет Троянівської сільської ради</t>
  </si>
  <si>
    <t>Бюджет Новогуйвинської селищної ради</t>
  </si>
  <si>
    <t>Бюджет міста Житомира</t>
  </si>
  <si>
    <t>Разом по бюджетах селищ</t>
  </si>
  <si>
    <t>Разом по місцевих бюджетах</t>
  </si>
  <si>
    <t>у закладах дошкільної освіти (видатки споживання)</t>
  </si>
  <si>
    <t>оплату за проведення корекційно-розвиткових занять і придбання спеціальних засобів корекції для учнів інклюзивних класів (видатки розвитку)</t>
  </si>
  <si>
    <t>у закладах дошкільної освіти (видатки розвитку)</t>
  </si>
  <si>
    <t>Нерозподілені трансферти</t>
  </si>
  <si>
    <t>3719330</t>
  </si>
  <si>
    <t>9330</t>
  </si>
  <si>
    <t>3718500</t>
  </si>
  <si>
    <t>8500</t>
  </si>
  <si>
    <t>Нерозподілені трансферти з державного бюджету</t>
  </si>
  <si>
    <t>22-7</t>
  </si>
  <si>
    <t>Рішення нове 24-7</t>
  </si>
  <si>
    <t>Рішення-Рішення(попереднє -23-7)</t>
  </si>
  <si>
    <t xml:space="preserve">                                                                                                                                 Міжбюджетні трансферти на 2019 рік</t>
  </si>
  <si>
    <t>Рентна плата та плата за використання інших природних ресурсів</t>
  </si>
  <si>
    <t xml:space="preserve">13010000
</t>
  </si>
  <si>
    <t xml:space="preserve">13010100
</t>
  </si>
  <si>
    <t>Рентна плата за спеціальне використання лісових ресурсів</t>
  </si>
  <si>
    <t xml:space="preserve"> Рентна плата за спеціальне використання лісових ресурсів в частині деревини, заготовленої в порядку рубок головного користування 
 </t>
  </si>
  <si>
    <t>відділу освіти та національно-патріотичного виховання, молоді та спорту ЖРДА на підвіз учасників Вертокиївської ЗОШ І-ІІІ ст. на районний етап всеукраїнської військово-патріотичної гри "Джура"</t>
  </si>
  <si>
    <t>на надання фінансової підтримки для КНП "Центр первинної медико-санітарної допомоги" на придбання туберкуліну</t>
  </si>
  <si>
    <t>на обладнання системи відеоспостереження на території Озерянківської сільської ради</t>
  </si>
  <si>
    <t xml:space="preserve">на придбання сценічного взуття для учасниць народного аматорського ансамблю "Веселі панянки" БК с. Кодня </t>
  </si>
  <si>
    <t>на компенсацію за пільговий проїзд окремих категорій громадян</t>
  </si>
  <si>
    <t>на відрядження працівникам ДНЗ "Сонечко" с.Висока Піч та ДНЗ "Ромашка" с. Покостівка (курси підвищення кваліфікації, тенінги)</t>
  </si>
  <si>
    <t xml:space="preserve">на капітальний ремонт вул. Авіаційної від буд. 21а до буд. 113а  смт Озерне Житомирського району </t>
  </si>
  <si>
    <t>Для терапевтичного відділення реабілітації і лікування громадян, які постраждали внаслідок Чорнобильської катастрофи обласної клінічної лікарні ім. О.Ф.Гербачевського на придбання медикаментів для лікування громадян, які постраждали внаслідок Чорнобильської катастрофи</t>
  </si>
  <si>
    <t>Програма фінансування видатків на компенсаційні виплати за пільговий проїзд окремих категорій громадян  автомобільним транспортом на приміських автобусних маршрутах загального користування у Житомирському районі на 2019 рік</t>
  </si>
  <si>
    <t xml:space="preserve">Районна програма "Територіальна оборона Житомирського району на 2017-2019 роки" </t>
  </si>
  <si>
    <t>Програма соціального захисту громадян Житомирського району, які постраждали внаслідок Чорнобильської катастрофи, на 2018-2020 роки</t>
  </si>
  <si>
    <t>Комплексна програма фінансової підтримки громадських організацій ветеранів війни, учасників бойових дій, інвалідів, ліквідаторів аварії на Чорнобильській АЕС Житомирського району на 2019 рік</t>
  </si>
  <si>
    <t>Комплексна програма профілактики злочинності у Житомирському районі на 2016-2020 роки</t>
  </si>
  <si>
    <t>Рішення районної ради від 29.04.2016 № 66</t>
  </si>
  <si>
    <t>Рішення районної ради від 21.12.2018 № 760</t>
  </si>
  <si>
    <t>Рішення районної ради від 01.06.2018 № 618</t>
  </si>
  <si>
    <t>Рішення районної ради від 29.07.2016 № 133</t>
  </si>
  <si>
    <t>на відшкодування вартості виконаних робіт на поліпшення об'єкта оренди та проведення реконструкції нежилого приміщення яке знаходиться в оренді ФОП Микитюк Ірини Василівни за 2016 рік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</si>
  <si>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</si>
  <si>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</si>
  <si>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</si>
  <si>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спеціальний фонд</t>
  </si>
  <si>
    <t>Всього:</t>
  </si>
  <si>
    <t>Місцевий бюджет якому надається субвенція</t>
  </si>
  <si>
    <t>на виконання п.20 Прикінцевих та перехідних положень Бюджетного кодексу України</t>
  </si>
  <si>
    <t>41021700</t>
  </si>
  <si>
    <t>41010600</t>
  </si>
  <si>
    <t>30000000</t>
  </si>
  <si>
    <t>31030000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</si>
  <si>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</si>
  <si>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>Доходи від операцій з капіталом</t>
  </si>
  <si>
    <t>Кошти від прожажу землі і нематеріальних активів</t>
  </si>
  <si>
    <t>33010000</t>
  </si>
  <si>
    <t>Кошти від продажу землі</t>
  </si>
  <si>
    <t>0217462</t>
  </si>
  <si>
    <t>7462</t>
  </si>
  <si>
    <t>з них:</t>
  </si>
  <si>
    <t>3034</t>
  </si>
  <si>
    <t>Надання пільг окремим категоріям громадян з оплати послуг зв'язку</t>
  </si>
  <si>
    <t>3719750</t>
  </si>
  <si>
    <t>9750</t>
  </si>
  <si>
    <t>Субвенція з місцевого бюджету на співфінансування інвестиційних проектів (на співфінансування закупівлі телемедичного обладнання)</t>
  </si>
  <si>
    <t>Надходження бюджетних установ від реалізації в установленому порядку майна (крім нерухомого майна)</t>
  </si>
  <si>
    <t>Спеціальний фонд</t>
  </si>
  <si>
    <t>Інші дотації</t>
  </si>
  <si>
    <t>41020900</t>
  </si>
  <si>
    <t xml:space="preserve">            до рішення районної ради</t>
  </si>
  <si>
    <t>утримання закладів культури</t>
  </si>
  <si>
    <t>в т.ч. на:</t>
  </si>
  <si>
    <t>на реконструкцію чи капітальний ремонт житла</t>
  </si>
  <si>
    <t>на придбання житла</t>
  </si>
  <si>
    <t>Разом по бюджетах сіл</t>
  </si>
  <si>
    <t>Розподіл витрат районного бюджету на реалізацію місцевих / регіональних програм у 2019 році</t>
  </si>
  <si>
    <t>(грн)</t>
  </si>
  <si>
    <t>Обласний бюджет Житомирської області</t>
  </si>
  <si>
    <t>Бюджет Глибочицької сільської об’єднаної територіальної громади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</si>
  <si>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</si>
  <si>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Бюджет Оліївської сільської об’єднаної територіальної громади</t>
  </si>
  <si>
    <t>Бюджет Станишівської сільської об’єднаної територіальної громади</t>
  </si>
  <si>
    <t>Бюджет Тетерівської сільської об’єднаної територіальної громади</t>
  </si>
  <si>
    <t>на виконання Районної (комплексної) цільової соціальної Програми забезпечення житлом дітей-сиріт, дітей позбавлених батьківського піклування, та осіб з їх числа на 2018-2022  роки (на придбання житла,  особі з числа дітей, позбавлених батьківського піклування Лайчук О.В., Лайчуку С.В., Лайчуку В.В., походження яких с. Вигода)</t>
  </si>
  <si>
    <t xml:space="preserve">Заступник голови районної ради </t>
  </si>
  <si>
    <t xml:space="preserve">          Заступник голови районної ради</t>
  </si>
  <si>
    <t xml:space="preserve">        Заступник голови районної ради</t>
  </si>
  <si>
    <t>Заступник голови районної ради</t>
  </si>
  <si>
    <t>розбіжність</t>
  </si>
  <si>
    <t>3047</t>
  </si>
  <si>
    <t>Відшкодування вартості лікарських засобів для лікування окремих захворювань</t>
  </si>
  <si>
    <t>2146</t>
  </si>
  <si>
    <t>0212146</t>
  </si>
  <si>
    <t>33010100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</si>
  <si>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</si>
  <si>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</si>
  <si>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Офіційні трансферти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</si>
  <si>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</t>
  </si>
  <si>
    <t>21110000</t>
  </si>
  <si>
    <t>Надходження коштів від відшкодування втрат сільськогосподарського і лісогосподарського виробництва</t>
  </si>
  <si>
    <t>0110000</t>
  </si>
  <si>
    <t>0100000</t>
  </si>
  <si>
    <t>0300000</t>
  </si>
  <si>
    <t>Багатопрофільна стаціонарна медична допомога населенню</t>
  </si>
  <si>
    <t>0731</t>
  </si>
  <si>
    <t>0312010</t>
  </si>
  <si>
    <t>0310000</t>
  </si>
  <si>
    <t>2140</t>
  </si>
  <si>
    <t>0722</t>
  </si>
  <si>
    <t>0726</t>
  </si>
  <si>
    <t>31010200</t>
  </si>
  <si>
    <t>11011400</t>
  </si>
  <si>
    <t>Обласний бюджет</t>
  </si>
  <si>
    <t>виконання п.20 Прикінцевих та перехідних положень Бюджетного кодексу України, всього</t>
  </si>
  <si>
    <t>Власні надходження бюджетних установ</t>
  </si>
  <si>
    <t>Разом доходів</t>
  </si>
  <si>
    <t>Від органів державного управління</t>
  </si>
  <si>
    <t>11000000</t>
  </si>
  <si>
    <t>11020200</t>
  </si>
  <si>
    <t>11010000</t>
  </si>
  <si>
    <t>11020000</t>
  </si>
  <si>
    <t>13000000</t>
  </si>
  <si>
    <t>13050000</t>
  </si>
  <si>
    <t>14000000</t>
  </si>
  <si>
    <t>14060300</t>
  </si>
  <si>
    <t>20000000</t>
  </si>
  <si>
    <t>21000000</t>
  </si>
  <si>
    <t>22000000</t>
  </si>
  <si>
    <t>22080000</t>
  </si>
  <si>
    <t>23000000</t>
  </si>
  <si>
    <t>23030000</t>
  </si>
  <si>
    <t>24000000</t>
  </si>
  <si>
    <t>40000000</t>
  </si>
  <si>
    <t>41010000</t>
  </si>
  <si>
    <t>41020000</t>
  </si>
  <si>
    <t>41030000</t>
  </si>
  <si>
    <t>41000000</t>
  </si>
  <si>
    <t>Резервний фонд</t>
  </si>
  <si>
    <t>41020100</t>
  </si>
  <si>
    <t>Плата за державну реєстрацію суб’єктів підприємницької діяльності</t>
  </si>
  <si>
    <t>Призначення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</si>
  <si>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</si>
  <si>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</si>
  <si>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Додаток № 6.1</t>
  </si>
  <si>
    <t>Місцевий бюджет з якого надається субвенція</t>
  </si>
  <si>
    <t>1513180</t>
  </si>
  <si>
    <t>5031</t>
  </si>
  <si>
    <t>5032</t>
  </si>
  <si>
    <t>0456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</si>
  <si>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</si>
  <si>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</si>
  <si>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1040</t>
  </si>
  <si>
    <t>Проведення навчально-тренувальних зборів і змагань з олімпійських видів спорту</t>
  </si>
  <si>
    <t>0810</t>
  </si>
  <si>
    <t>0315011</t>
  </si>
  <si>
    <t>Фінансова підтримка дитячо-юнацьких спортивних шкіл фізкультурно-спортивних товариств</t>
  </si>
  <si>
    <t>0318600</t>
  </si>
  <si>
    <t xml:space="preserve">Плата за розміщення тимчасово вільних коштів місцевих бюджетів </t>
  </si>
  <si>
    <t>з них</t>
  </si>
  <si>
    <t>РАЗОМ</t>
  </si>
  <si>
    <t>4017810</t>
  </si>
  <si>
    <t>06308501000</t>
  </si>
  <si>
    <t>06308503000</t>
  </si>
  <si>
    <t>06308505000</t>
  </si>
  <si>
    <t>06308506000</t>
  </si>
  <si>
    <t>06308507000</t>
  </si>
  <si>
    <t>13050100</t>
  </si>
  <si>
    <t>13050200</t>
  </si>
  <si>
    <t>13050300</t>
  </si>
  <si>
    <t>13050500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</si>
  <si>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</si>
  <si>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</si>
  <si>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</si>
  <si>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</si>
  <si>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Базова дотація</t>
  </si>
  <si>
    <t>Додаткова дотація з державного бюджету на забезпечення видатків на оплату праці працівників бюджетних установ у зв`язку із наближенням запровадження Єдиної тарифної сітки розрядів і коефіцієнтів у повному обсязі</t>
  </si>
  <si>
    <t>1070</t>
  </si>
  <si>
    <t>0421</t>
  </si>
  <si>
    <t xml:space="preserve">до рішення  районної ради  </t>
  </si>
  <si>
    <t>Плата за оренду майна бюджетних установ</t>
  </si>
  <si>
    <t>11010800</t>
  </si>
  <si>
    <t>Житомирська районна рада</t>
  </si>
  <si>
    <t>Житомирська районна державна адміністрація</t>
  </si>
  <si>
    <t>0312214</t>
  </si>
  <si>
    <t>2214</t>
  </si>
  <si>
    <t>0763</t>
  </si>
  <si>
    <t>0313112</t>
  </si>
  <si>
    <t>3112</t>
  </si>
  <si>
    <t>Заходи державної політики з питань дітей та їх соціального захисту</t>
  </si>
  <si>
    <t>22012900</t>
  </si>
  <si>
    <t xml:space="preserve">                 Інші субвенції з районного місцевим бюджетам на 2019 рік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</si>
  <si>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</si>
  <si>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дефіцит зф</t>
  </si>
  <si>
    <t>дефіцит зф вцілому</t>
  </si>
  <si>
    <t>залишок коштів РБ</t>
  </si>
  <si>
    <t>профіцит зф</t>
  </si>
  <si>
    <t>дефіцит сф</t>
  </si>
  <si>
    <t>надходження із зф</t>
  </si>
  <si>
    <t>залишок коштів СФ</t>
  </si>
  <si>
    <t>Податок на прибуток підприємств</t>
  </si>
  <si>
    <t>Плата за землю</t>
  </si>
  <si>
    <t>Надання субсидій населенню для відшкодування витрат на оплату житлово-комунальних послуг</t>
  </si>
  <si>
    <t>1513016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</si>
  <si>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</si>
  <si>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3026</t>
  </si>
  <si>
    <t>1060</t>
  </si>
  <si>
    <t>1513026</t>
  </si>
  <si>
    <t>41050700</t>
  </si>
  <si>
    <t>41051000</t>
  </si>
  <si>
    <t>41051500</t>
  </si>
  <si>
    <t>41052000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</si>
  <si>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</si>
  <si>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Інші субвенції з місцевого бюджету </t>
  </si>
  <si>
    <t>Податок на доходи фізичних осіб, що сплачується фізичними особами за результатами річного декларування</t>
  </si>
  <si>
    <t>Найменування згідно з класифікацією доходів бюджету</t>
  </si>
  <si>
    <t>Кошти, що передаються із загального фонду бюджету до бюджету розвитку (спеціального фонду)</t>
  </si>
  <si>
    <t xml:space="preserve">Податок на прибуток підприємств та фінансових установ комунальної власності </t>
  </si>
  <si>
    <t>Бюджет м. Житомира</t>
  </si>
  <si>
    <t>фінансова підтримка КНП "Центру первинної медико-санітарної допомоги" на придбання меблів, виробів медичного призначення, мякого інвентарю для ФП с. Кам’янка</t>
  </si>
  <si>
    <t>Найменування згідно з класифікацією фінансування бюджету</t>
  </si>
  <si>
    <t>Внутрішнє фінансування</t>
  </si>
  <si>
    <t>Повернення бюджетних коштів з депозитів</t>
  </si>
  <si>
    <t xml:space="preserve">Розміщення бюджетних коштів на депозитах </t>
  </si>
  <si>
    <t xml:space="preserve">                       Перший заступник голови ради</t>
  </si>
  <si>
    <t>11010500</t>
  </si>
  <si>
    <t>0217322</t>
  </si>
  <si>
    <t>7322</t>
  </si>
  <si>
    <t>Будівництво медичних установ та закладів</t>
  </si>
  <si>
    <t>на реконструкцію вуличного електроосвітлення під'їзної дороги Житомирської районної лікарні по Сквирському шосе 3 в с.Станишівка, Житомирського району Житомирської області</t>
  </si>
  <si>
    <t>на капітальний ремонт приміщень (коридори, медблок) ДНЗ "Дзвіночок" в смт Новогуйвинське</t>
  </si>
  <si>
    <t xml:space="preserve">Надходження від орендної плати за  користування цілісним майновим комплексом та іншим державним майном </t>
  </si>
  <si>
    <t>31000000</t>
  </si>
  <si>
    <t>Надходження від продажу основного капіталу</t>
  </si>
  <si>
    <t>31010000</t>
  </si>
  <si>
    <t xml:space="preserve">утримання дошкільних закладів освіти 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</si>
  <si>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</si>
  <si>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</si>
  <si>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Зміни обсягів бюджетних коштів</t>
  </si>
  <si>
    <t>4040</t>
  </si>
  <si>
    <t>1014040</t>
  </si>
  <si>
    <t>4060</t>
  </si>
  <si>
    <t>у тому числі  бюджет розвитку</t>
  </si>
  <si>
    <t>Усього</t>
  </si>
  <si>
    <t>Доходи районного бюджету на 2019 рік</t>
  </si>
  <si>
    <t>Х</t>
  </si>
  <si>
    <t>Усього доходів (без урахування міжбюджетних трансфертів)</t>
  </si>
  <si>
    <t>Фінансування за типом кредитора</t>
  </si>
  <si>
    <t>Загальне фінансування</t>
  </si>
  <si>
    <t>для виготовлення проектно-кошторисної документації по реконструкції даху з м'якої покрівлі на шатрову Троянівської ЗОШ І-ІІІ ст. с.Троянів Житомирського району Житомирської області</t>
  </si>
  <si>
    <t>Фінасування за типом боргового зобов’язання</t>
  </si>
  <si>
    <t>в тому числі бюджет розвитку</t>
  </si>
  <si>
    <t xml:space="preserve">Код Програмної класифікації видатків та кредитування місцевих бюджетів
   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</si>
  <si>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</si>
  <si>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</si>
  <si>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1513031</t>
  </si>
  <si>
    <t>3031</t>
  </si>
  <si>
    <t>Надходження бюджетних установ від додаткової (господарської) діяльності</t>
  </si>
  <si>
    <t>7317450</t>
  </si>
  <si>
    <t>7450</t>
  </si>
  <si>
    <t>0411</t>
  </si>
  <si>
    <t>Сприяння розвитку малого та середнього підприємництва</t>
  </si>
  <si>
    <t>7618370</t>
  </si>
  <si>
    <t>11020100</t>
  </si>
  <si>
    <t>31020000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</si>
  <si>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</si>
  <si>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</si>
  <si>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3022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</si>
  <si>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</si>
  <si>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</si>
  <si>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</si>
  <si>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0110180</t>
  </si>
  <si>
    <t>2100</t>
  </si>
  <si>
    <t>Стоматологічна допомога населенню</t>
  </si>
  <si>
    <t>2111</t>
  </si>
  <si>
    <t>0113242</t>
  </si>
  <si>
    <t>3242</t>
  </si>
  <si>
    <t>Інші заходи у сфері соціального захисту і соціального забезпечення</t>
  </si>
  <si>
    <t>0213242</t>
  </si>
  <si>
    <t>0611161</t>
  </si>
  <si>
    <t>1161</t>
  </si>
  <si>
    <t>0611162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</si>
  <si>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</si>
  <si>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</si>
  <si>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</si>
  <si>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Відділ регіонального розвитку, містобудування та архітектури Житомирської районної державної адміністрації</t>
  </si>
  <si>
    <t>1617350</t>
  </si>
  <si>
    <t>0615011</t>
  </si>
  <si>
    <t>0813123</t>
  </si>
  <si>
    <t>0813140</t>
  </si>
  <si>
    <t xml:space="preserve"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захисту»;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 
</t>
  </si>
  <si>
    <t>0813220</t>
  </si>
  <si>
    <t>3221</t>
  </si>
  <si>
    <t>1011020</t>
  </si>
  <si>
    <t>Надання позашкільної освіти позашкільними закладами освіти, заходи із позашкільної роботи з дітьми</t>
  </si>
  <si>
    <t>0960</t>
  </si>
  <si>
    <t>1011090</t>
  </si>
  <si>
    <t>0990</t>
  </si>
  <si>
    <t>1011170</t>
  </si>
  <si>
    <t>1010000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</si>
  <si>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</si>
  <si>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</si>
  <si>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</si>
  <si>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1020</t>
  </si>
  <si>
    <t>на заробітну плату з нарахуваннями тренера-викладача ДЮСШ ЖРО ВФСТ "Колос" АПК України</t>
  </si>
  <si>
    <t>Фінансова підтримка КНП "Центру  первинної медико-санітарної допомоги" на оплату енергоносіїв АЗПСМ с. Оліївка, ФАП с. Кам’янка, ФП с. Сонячне, с. Світин, с. Довжик</t>
  </si>
  <si>
    <t>Фінансова підтримка КНП "Центру  первинної медико-санітарної допомоги" на оплату інших виплат населенню (відшкодування безкоштовних рецептів)</t>
  </si>
  <si>
    <t>Фінансова підтримка КНП "Центру  первинної медико-санітарної допомоги" на придбання туберкуліну</t>
  </si>
  <si>
    <t>Фінансування за активними операціями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</si>
  <si>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форми туберкульозу</t>
  </si>
  <si>
    <t>Фінансування за рахунок зміни залишків коштів бюджетів</t>
  </si>
  <si>
    <t>Податок на доходи фізичних осіб на дивіденди та роялті</t>
  </si>
  <si>
    <t xml:space="preserve">Податок на доходи фізичних осіб - військовослужбовців та осіб рядового і начальницького складу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</si>
</sst>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0.0;\-0.0;"/>
    <numFmt numFmtId="201" formatCode="0;\-0;"/>
    <numFmt numFmtId="202" formatCode="0.00;\-0.00;"/>
    <numFmt numFmtId="203" formatCode="0.00000"/>
    <numFmt numFmtId="204" formatCode="0.000"/>
    <numFmt numFmtId="205" formatCode="[$€-2]\ ###,000_);[Red]\([$€-2]\ ###,000\)"/>
    <numFmt numFmtId="206" formatCode="0.0%"/>
    <numFmt numFmtId="207" formatCode="[$-422]d\ mmmm\ yyyy&quot; р.&quot;"/>
    <numFmt numFmtId="208" formatCode="hh:mm:ss"/>
    <numFmt numFmtId="209" formatCode="#,##0.0"/>
    <numFmt numFmtId="210" formatCode="0.0000"/>
    <numFmt numFmtId="211" formatCode="\+0;\-0;0"/>
    <numFmt numFmtId="212" formatCode="0.000000"/>
    <numFmt numFmtId="213" formatCode="#,##0.000"/>
    <numFmt numFmtId="214" formatCode="#,##0.0000"/>
  </numFmts>
  <fonts count="9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3"/>
      <name val="Times New Roman"/>
      <family val="1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6"/>
      <name val="Arial Cyr"/>
      <family val="0"/>
    </font>
    <font>
      <b/>
      <sz val="16"/>
      <name val="Arial Narrow"/>
      <family val="2"/>
    </font>
    <font>
      <b/>
      <sz val="16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1"/>
      <color indexed="14"/>
      <name val="Times New Roman"/>
      <family val="1"/>
    </font>
    <font>
      <sz val="12"/>
      <color indexed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18"/>
      <name val="Times New Roman"/>
      <family val="1"/>
    </font>
    <font>
      <sz val="10"/>
      <name val="Helv"/>
      <family val="0"/>
    </font>
    <font>
      <i/>
      <sz val="11"/>
      <name val="Arial"/>
      <family val="2"/>
    </font>
    <font>
      <i/>
      <sz val="10"/>
      <name val="Times New Roman"/>
      <family val="1"/>
    </font>
    <font>
      <i/>
      <sz val="14"/>
      <name val="Times New Roman"/>
      <family val="1"/>
    </font>
    <font>
      <b/>
      <sz val="15"/>
      <name val="Times New Roman"/>
      <family val="1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b/>
      <sz val="16"/>
      <color indexed="9"/>
      <name val="Times New Roman"/>
      <family val="1"/>
    </font>
    <font>
      <sz val="16"/>
      <color indexed="10"/>
      <name val="Times New Roman"/>
      <family val="1"/>
    </font>
    <font>
      <b/>
      <sz val="18"/>
      <name val="Arial Narrow"/>
      <family val="2"/>
    </font>
    <font>
      <b/>
      <sz val="11"/>
      <name val="Times New Roman"/>
      <family val="1"/>
    </font>
    <font>
      <sz val="11"/>
      <color indexed="14"/>
      <name val="Arial"/>
      <family val="2"/>
    </font>
    <font>
      <b/>
      <i/>
      <sz val="11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20"/>
      <name val="Times New Roman"/>
      <family val="1"/>
    </font>
    <font>
      <sz val="20"/>
      <name val="Arial Cyr"/>
      <family val="0"/>
    </font>
    <font>
      <sz val="16"/>
      <color indexed="10"/>
      <name val="Arial Cyr"/>
      <family val="0"/>
    </font>
    <font>
      <sz val="16"/>
      <color indexed="8"/>
      <name val="Times New Roman"/>
      <family val="1"/>
    </font>
    <font>
      <sz val="16"/>
      <name val="Arial Narrow"/>
      <family val="2"/>
    </font>
    <font>
      <sz val="12"/>
      <name val="Arial Narrow"/>
      <family val="2"/>
    </font>
    <font>
      <sz val="13"/>
      <name val="Arial Cyr"/>
      <family val="2"/>
    </font>
    <font>
      <sz val="14"/>
      <name val="Arial Narrow"/>
      <family val="2"/>
    </font>
    <font>
      <sz val="14"/>
      <color indexed="14"/>
      <name val="Times New Roman"/>
      <family val="1"/>
    </font>
    <font>
      <sz val="14"/>
      <color indexed="10"/>
      <name val="Arial Narrow"/>
      <family val="2"/>
    </font>
    <font>
      <sz val="12"/>
      <name val="Arial Cyr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10"/>
      <color indexed="10"/>
      <name val="Arial Cyr"/>
      <family val="2"/>
    </font>
    <font>
      <b/>
      <sz val="14"/>
      <color indexed="10"/>
      <name val="Times New Roman"/>
      <family val="1"/>
    </font>
    <font>
      <sz val="13"/>
      <color indexed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72" fillId="7" borderId="1" applyNumberFormat="0" applyAlignment="0" applyProtection="0"/>
    <xf numFmtId="0" fontId="73" fillId="20" borderId="2" applyNumberFormat="0" applyAlignment="0" applyProtection="0"/>
    <xf numFmtId="0" fontId="7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1" borderId="7" applyNumberFormat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82" fillId="3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4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4" borderId="0" applyNumberFormat="0" applyBorder="0" applyAlignment="0" applyProtection="0"/>
  </cellStyleXfs>
  <cellXfs count="1003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3" fontId="13" fillId="0" borderId="1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15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vertical="top" wrapText="1" indent="1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3" fontId="13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Alignment="1">
      <alignment horizontal="justify" wrapText="1"/>
    </xf>
    <xf numFmtId="3" fontId="1" fillId="0" borderId="0" xfId="0" applyNumberFormat="1" applyFont="1" applyFill="1" applyAlignment="1">
      <alignment horizontal="justify" wrapText="1"/>
    </xf>
    <xf numFmtId="3" fontId="6" fillId="0" borderId="0" xfId="0" applyNumberFormat="1" applyFont="1" applyFill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4" fontId="13" fillId="0" borderId="10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4" fontId="13" fillId="0" borderId="11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justify" wrapText="1"/>
    </xf>
    <xf numFmtId="4" fontId="9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0" fontId="1" fillId="17" borderId="0" xfId="0" applyFont="1" applyFill="1" applyAlignment="1">
      <alignment/>
    </xf>
    <xf numFmtId="4" fontId="1" fillId="0" borderId="0" xfId="0" applyNumberFormat="1" applyFont="1" applyFill="1" applyBorder="1" applyAlignment="1">
      <alignment/>
    </xf>
    <xf numFmtId="0" fontId="20" fillId="25" borderId="0" xfId="0" applyFont="1" applyFill="1" applyAlignment="1">
      <alignment/>
    </xf>
    <xf numFmtId="3" fontId="20" fillId="25" borderId="0" xfId="0" applyNumberFormat="1" applyFont="1" applyFill="1" applyAlignment="1">
      <alignment/>
    </xf>
    <xf numFmtId="3" fontId="1" fillId="0" borderId="0" xfId="0" applyNumberFormat="1" applyFont="1" applyAlignment="1">
      <alignment horizontal="left" wrapText="1" indent="6"/>
    </xf>
    <xf numFmtId="3" fontId="0" fillId="0" borderId="0" xfId="0" applyNumberFormat="1" applyAlignment="1">
      <alignment horizontal="left" wrapText="1" indent="6"/>
    </xf>
    <xf numFmtId="3" fontId="11" fillId="17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3" fontId="15" fillId="25" borderId="10" xfId="0" applyNumberFormat="1" applyFont="1" applyFill="1" applyBorder="1" applyAlignment="1">
      <alignment vertical="center"/>
    </xf>
    <xf numFmtId="3" fontId="32" fillId="24" borderId="0" xfId="0" applyNumberFormat="1" applyFont="1" applyFill="1" applyAlignment="1">
      <alignment/>
    </xf>
    <xf numFmtId="1" fontId="19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0" xfId="0" applyFont="1" applyAlignment="1">
      <alignment/>
    </xf>
    <xf numFmtId="0" fontId="8" fillId="26" borderId="10" xfId="0" applyFont="1" applyFill="1" applyBorder="1" applyAlignment="1">
      <alignment/>
    </xf>
    <xf numFmtId="0" fontId="8" fillId="26" borderId="0" xfId="0" applyFont="1" applyFill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0" xfId="0" applyNumberFormat="1" applyFont="1" applyAlignment="1">
      <alignment/>
    </xf>
    <xf numFmtId="4" fontId="15" fillId="0" borderId="10" xfId="0" applyNumberFormat="1" applyFont="1" applyBorder="1" applyAlignment="1">
      <alignment vertical="center"/>
    </xf>
    <xf numFmtId="49" fontId="29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33" fillId="0" borderId="0" xfId="0" applyFont="1" applyAlignment="1">
      <alignment/>
    </xf>
    <xf numFmtId="0" fontId="30" fillId="0" borderId="0" xfId="0" applyFont="1" applyAlignment="1">
      <alignment horizontal="right"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right"/>
    </xf>
    <xf numFmtId="0" fontId="33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vertical="top" wrapText="1"/>
    </xf>
    <xf numFmtId="196" fontId="2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9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96" fontId="20" fillId="24" borderId="0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left"/>
    </xf>
    <xf numFmtId="1" fontId="4" fillId="0" borderId="10" xfId="0" applyNumberFormat="1" applyFont="1" applyBorder="1" applyAlignment="1">
      <alignment wrapText="1"/>
    </xf>
    <xf numFmtId="0" fontId="33" fillId="0" borderId="0" xfId="0" applyFont="1" applyFill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33" fillId="0" borderId="10" xfId="0" applyNumberFormat="1" applyFont="1" applyFill="1" applyBorder="1" applyAlignment="1">
      <alignment horizontal="center" wrapText="1"/>
    </xf>
    <xf numFmtId="4" fontId="33" fillId="0" borderId="10" xfId="0" applyNumberFormat="1" applyFont="1" applyFill="1" applyBorder="1" applyAlignment="1">
      <alignment horizontal="center"/>
    </xf>
    <xf numFmtId="0" fontId="33" fillId="25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4" fontId="33" fillId="0" borderId="0" xfId="0" applyNumberFormat="1" applyFont="1" applyFill="1" applyBorder="1" applyAlignment="1">
      <alignment/>
    </xf>
    <xf numFmtId="4" fontId="33" fillId="0" borderId="0" xfId="0" applyNumberFormat="1" applyFont="1" applyBorder="1" applyAlignment="1">
      <alignment/>
    </xf>
    <xf numFmtId="204" fontId="33" fillId="0" borderId="0" xfId="0" applyNumberFormat="1" applyFont="1" applyBorder="1" applyAlignment="1">
      <alignment/>
    </xf>
    <xf numFmtId="4" fontId="4" fillId="0" borderId="10" xfId="54" applyNumberFormat="1" applyFont="1" applyFill="1" applyBorder="1" applyAlignment="1">
      <alignment horizontal="center" wrapText="1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wrapText="1"/>
    </xf>
    <xf numFmtId="1" fontId="8" fillId="0" borderId="0" xfId="0" applyNumberFormat="1" applyFont="1" applyBorder="1" applyAlignment="1">
      <alignment wrapText="1"/>
    </xf>
    <xf numFmtId="4" fontId="33" fillId="0" borderId="10" xfId="54" applyNumberFormat="1" applyFont="1" applyFill="1" applyBorder="1" applyAlignment="1">
      <alignment horizontal="center" vertical="center" wrapText="1"/>
      <protection/>
    </xf>
    <xf numFmtId="4" fontId="33" fillId="0" borderId="0" xfId="0" applyNumberFormat="1" applyFont="1" applyAlignment="1">
      <alignment/>
    </xf>
    <xf numFmtId="1" fontId="4" fillId="0" borderId="0" xfId="0" applyNumberFormat="1" applyFont="1" applyBorder="1" applyAlignment="1">
      <alignment wrapText="1"/>
    </xf>
    <xf numFmtId="4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center"/>
    </xf>
    <xf numFmtId="0" fontId="23" fillId="0" borderId="0" xfId="0" applyFont="1" applyFill="1" applyAlignment="1">
      <alignment horizontal="right" vertical="top" wrapText="1"/>
    </xf>
    <xf numFmtId="0" fontId="8" fillId="0" borderId="10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49" fontId="19" fillId="0" borderId="10" xfId="0" applyNumberFormat="1" applyFont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top" wrapText="1"/>
    </xf>
    <xf numFmtId="0" fontId="34" fillId="24" borderId="10" xfId="0" applyFont="1" applyFill="1" applyBorder="1" applyAlignment="1">
      <alignment vertical="top" wrapText="1"/>
    </xf>
    <xf numFmtId="0" fontId="35" fillId="24" borderId="10" xfId="0" applyFont="1" applyFill="1" applyBorder="1" applyAlignment="1">
      <alignment horizontal="center" vertical="top" wrapText="1"/>
    </xf>
    <xf numFmtId="0" fontId="35" fillId="24" borderId="10" xfId="0" applyFont="1" applyFill="1" applyBorder="1" applyAlignment="1">
      <alignment vertical="top" wrapText="1"/>
    </xf>
    <xf numFmtId="0" fontId="37" fillId="24" borderId="10" xfId="0" applyFont="1" applyFill="1" applyBorder="1" applyAlignment="1">
      <alignment horizontal="center" vertical="top" wrapText="1"/>
    </xf>
    <xf numFmtId="0" fontId="37" fillId="24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49" fontId="43" fillId="0" borderId="10" xfId="0" applyNumberFormat="1" applyFont="1" applyFill="1" applyBorder="1" applyAlignment="1">
      <alignment horizontal="center" vertical="center"/>
    </xf>
    <xf numFmtId="3" fontId="44" fillId="0" borderId="0" xfId="0" applyNumberFormat="1" applyFont="1" applyAlignment="1">
      <alignment vertical="center"/>
    </xf>
    <xf numFmtId="49" fontId="43" fillId="24" borderId="10" xfId="0" applyNumberFormat="1" applyFont="1" applyFill="1" applyBorder="1" applyAlignment="1">
      <alignment horizontal="center" vertical="center"/>
    </xf>
    <xf numFmtId="3" fontId="44" fillId="24" borderId="0" xfId="0" applyNumberFormat="1" applyFont="1" applyFill="1" applyAlignment="1">
      <alignment vertical="center"/>
    </xf>
    <xf numFmtId="49" fontId="18" fillId="24" borderId="10" xfId="0" applyNumberFormat="1" applyFont="1" applyFill="1" applyBorder="1" applyAlignment="1">
      <alignment horizontal="center" vertical="center"/>
    </xf>
    <xf numFmtId="3" fontId="6" fillId="24" borderId="0" xfId="0" applyNumberFormat="1" applyFont="1" applyFill="1" applyAlignment="1">
      <alignment vertical="center"/>
    </xf>
    <xf numFmtId="49" fontId="19" fillId="24" borderId="10" xfId="0" applyNumberFormat="1" applyFont="1" applyFill="1" applyBorder="1" applyAlignment="1">
      <alignment horizontal="center" vertical="center"/>
    </xf>
    <xf numFmtId="3" fontId="5" fillId="24" borderId="0" xfId="0" applyNumberFormat="1" applyFont="1" applyFill="1" applyAlignment="1">
      <alignment vertical="center"/>
    </xf>
    <xf numFmtId="49" fontId="43" fillId="24" borderId="13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Alignment="1">
      <alignment/>
    </xf>
    <xf numFmtId="4" fontId="33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33" fillId="0" borderId="10" xfId="55" applyNumberFormat="1" applyFont="1" applyFill="1" applyBorder="1" applyAlignment="1">
      <alignment horizontal="center" wrapText="1"/>
      <protection/>
    </xf>
    <xf numFmtId="4" fontId="4" fillId="24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/>
    </xf>
    <xf numFmtId="4" fontId="33" fillId="0" borderId="13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" fontId="33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Border="1" applyAlignment="1">
      <alignment horizontal="center"/>
    </xf>
    <xf numFmtId="1" fontId="33" fillId="0" borderId="0" xfId="0" applyNumberFormat="1" applyFont="1" applyBorder="1" applyAlignment="1">
      <alignment wrapText="1"/>
    </xf>
    <xf numFmtId="0" fontId="33" fillId="24" borderId="0" xfId="0" applyFont="1" applyFill="1" applyAlignment="1">
      <alignment/>
    </xf>
    <xf numFmtId="0" fontId="33" fillId="24" borderId="0" xfId="0" applyFont="1" applyFill="1" applyAlignment="1">
      <alignment horizontal="center"/>
    </xf>
    <xf numFmtId="0" fontId="33" fillId="24" borderId="0" xfId="0" applyFont="1" applyFill="1" applyAlignment="1">
      <alignment horizontal="right"/>
    </xf>
    <xf numFmtId="0" fontId="33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vertical="top"/>
    </xf>
    <xf numFmtId="3" fontId="1" fillId="0" borderId="0" xfId="0" applyNumberFormat="1" applyFont="1" applyBorder="1" applyAlignment="1">
      <alignment/>
    </xf>
    <xf numFmtId="3" fontId="32" fillId="24" borderId="0" xfId="0" applyNumberFormat="1" applyFont="1" applyFill="1" applyBorder="1" applyAlignment="1">
      <alignment/>
    </xf>
    <xf numFmtId="2" fontId="33" fillId="0" borderId="0" xfId="0" applyNumberFormat="1" applyFont="1" applyBorder="1" applyAlignment="1">
      <alignment/>
    </xf>
    <xf numFmtId="2" fontId="33" fillId="0" borderId="0" xfId="0" applyNumberFormat="1" applyFont="1" applyBorder="1" applyAlignment="1">
      <alignment wrapText="1"/>
    </xf>
    <xf numFmtId="204" fontId="33" fillId="24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33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33" fillId="24" borderId="0" xfId="0" applyFont="1" applyFill="1" applyAlignment="1">
      <alignment horizontal="right" wrapText="1"/>
    </xf>
    <xf numFmtId="0" fontId="33" fillId="24" borderId="0" xfId="0" applyFont="1" applyFill="1" applyAlignment="1">
      <alignment wrapText="1"/>
    </xf>
    <xf numFmtId="0" fontId="30" fillId="0" borderId="0" xfId="0" applyFont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 horizontal="right"/>
    </xf>
    <xf numFmtId="4" fontId="47" fillId="25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justify" vertical="center" wrapText="1"/>
    </xf>
    <xf numFmtId="0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4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1" fontId="33" fillId="0" borderId="0" xfId="0" applyNumberFormat="1" applyFont="1" applyFill="1" applyBorder="1" applyAlignment="1">
      <alignment wrapText="1"/>
    </xf>
    <xf numFmtId="3" fontId="33" fillId="24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top" wrapText="1"/>
    </xf>
    <xf numFmtId="0" fontId="23" fillId="24" borderId="0" xfId="0" applyFont="1" applyFill="1" applyAlignment="1">
      <alignment vertical="top" wrapText="1"/>
    </xf>
    <xf numFmtId="0" fontId="26" fillId="24" borderId="0" xfId="0" applyFont="1" applyFill="1" applyAlignment="1">
      <alignment vertical="top" wrapText="1"/>
    </xf>
    <xf numFmtId="4" fontId="48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left"/>
    </xf>
    <xf numFmtId="1" fontId="33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justify" vertical="top" wrapText="1"/>
    </xf>
    <xf numFmtId="0" fontId="33" fillId="0" borderId="14" xfId="0" applyFont="1" applyFill="1" applyBorder="1" applyAlignment="1">
      <alignment horizontal="justify" vertical="top" wrapText="1"/>
    </xf>
    <xf numFmtId="0" fontId="33" fillId="0" borderId="10" xfId="0" applyFont="1" applyFill="1" applyBorder="1" applyAlignment="1">
      <alignment horizontal="justify" vertical="top" wrapText="1"/>
    </xf>
    <xf numFmtId="0" fontId="23" fillId="0" borderId="0" xfId="0" applyNumberFormat="1" applyFont="1" applyAlignment="1">
      <alignment horizontal="right" wrapText="1"/>
    </xf>
    <xf numFmtId="4" fontId="2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vertical="top" wrapText="1"/>
    </xf>
    <xf numFmtId="0" fontId="33" fillId="0" borderId="0" xfId="0" applyFont="1" applyFill="1" applyBorder="1" applyAlignment="1">
      <alignment/>
    </xf>
    <xf numFmtId="4" fontId="23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4" fontId="27" fillId="0" borderId="11" xfId="0" applyNumberFormat="1" applyFont="1" applyBorder="1" applyAlignment="1">
      <alignment vertical="center"/>
    </xf>
    <xf numFmtId="0" fontId="49" fillId="26" borderId="10" xfId="0" applyFont="1" applyFill="1" applyBorder="1" applyAlignment="1">
      <alignment/>
    </xf>
    <xf numFmtId="3" fontId="28" fillId="26" borderId="10" xfId="0" applyNumberFormat="1" applyFont="1" applyFill="1" applyBorder="1" applyAlignment="1">
      <alignment/>
    </xf>
    <xf numFmtId="3" fontId="28" fillId="26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50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0" fontId="23" fillId="17" borderId="0" xfId="0" applyFont="1" applyFill="1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" fontId="23" fillId="0" borderId="0" xfId="0" applyNumberFormat="1" applyFont="1" applyFill="1" applyBorder="1" applyAlignment="1">
      <alignment vertical="center"/>
    </xf>
    <xf numFmtId="4" fontId="23" fillId="0" borderId="0" xfId="0" applyNumberFormat="1" applyFont="1" applyAlignment="1">
      <alignment/>
    </xf>
    <xf numFmtId="4" fontId="51" fillId="0" borderId="11" xfId="0" applyNumberFormat="1" applyFont="1" applyBorder="1" applyAlignment="1">
      <alignment vertical="center"/>
    </xf>
    <xf numFmtId="4" fontId="0" fillId="0" borderId="0" xfId="0" applyNumberFormat="1" applyBorder="1" applyAlignment="1">
      <alignment/>
    </xf>
    <xf numFmtId="4" fontId="33" fillId="0" borderId="10" xfId="54" applyNumberFormat="1" applyFont="1" applyFill="1" applyBorder="1" applyAlignment="1">
      <alignment wrapText="1"/>
      <protection/>
    </xf>
    <xf numFmtId="4" fontId="28" fillId="26" borderId="10" xfId="0" applyNumberFormat="1" applyFont="1" applyFill="1" applyBorder="1" applyAlignment="1">
      <alignment/>
    </xf>
    <xf numFmtId="49" fontId="43" fillId="24" borderId="10" xfId="0" applyNumberFormat="1" applyFont="1" applyFill="1" applyBorder="1" applyAlignment="1">
      <alignment horizontal="center" vertical="center" wrapText="1"/>
    </xf>
    <xf numFmtId="49" fontId="43" fillId="27" borderId="10" xfId="0" applyNumberFormat="1" applyFont="1" applyFill="1" applyBorder="1" applyAlignment="1">
      <alignment horizontal="center" vertical="center"/>
    </xf>
    <xf numFmtId="49" fontId="43" fillId="27" borderId="10" xfId="0" applyNumberFormat="1" applyFont="1" applyFill="1" applyBorder="1" applyAlignment="1">
      <alignment horizontal="center" vertical="center" wrapText="1"/>
    </xf>
    <xf numFmtId="49" fontId="43" fillId="26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24" borderId="0" xfId="0" applyNumberFormat="1" applyFont="1" applyFill="1" applyAlignment="1">
      <alignment vertical="center"/>
    </xf>
    <xf numFmtId="3" fontId="19" fillId="24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3" fontId="53" fillId="24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justify" wrapText="1"/>
    </xf>
    <xf numFmtId="3" fontId="31" fillId="0" borderId="0" xfId="0" applyNumberFormat="1" applyFont="1" applyFill="1" applyAlignment="1">
      <alignment/>
    </xf>
    <xf numFmtId="3" fontId="52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wrapText="1"/>
    </xf>
    <xf numFmtId="4" fontId="21" fillId="0" borderId="10" xfId="0" applyNumberFormat="1" applyFont="1" applyBorder="1" applyAlignment="1">
      <alignment vertical="center"/>
    </xf>
    <xf numFmtId="49" fontId="33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7" fillId="22" borderId="0" xfId="0" applyNumberFormat="1" applyFont="1" applyFill="1" applyBorder="1" applyAlignment="1">
      <alignment horizontal="center" vertical="center"/>
    </xf>
    <xf numFmtId="49" fontId="7" fillId="22" borderId="0" xfId="0" applyNumberFormat="1" applyFont="1" applyFill="1" applyBorder="1" applyAlignment="1">
      <alignment horizontal="center" vertical="center"/>
    </xf>
    <xf numFmtId="3" fontId="7" fillId="22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4" fillId="24" borderId="12" xfId="0" applyNumberFormat="1" applyFont="1" applyFill="1" applyBorder="1" applyAlignment="1">
      <alignment horizontal="left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49" fontId="55" fillId="4" borderId="10" xfId="0" applyNumberFormat="1" applyFont="1" applyFill="1" applyBorder="1" applyAlignment="1">
      <alignment horizontal="center"/>
    </xf>
    <xf numFmtId="3" fontId="55" fillId="4" borderId="10" xfId="0" applyNumberFormat="1" applyFont="1" applyFill="1" applyBorder="1" applyAlignment="1">
      <alignment horizontal="left" vertical="top" wrapText="1"/>
    </xf>
    <xf numFmtId="4" fontId="55" fillId="4" borderId="10" xfId="0" applyNumberFormat="1" applyFont="1" applyFill="1" applyBorder="1" applyAlignment="1">
      <alignment horizontal="right"/>
    </xf>
    <xf numFmtId="49" fontId="55" fillId="4" borderId="10" xfId="0" applyNumberFormat="1" applyFont="1" applyFill="1" applyBorder="1" applyAlignment="1">
      <alignment horizontal="center" vertical="center"/>
    </xf>
    <xf numFmtId="3" fontId="55" fillId="4" borderId="10" xfId="0" applyNumberFormat="1" applyFont="1" applyFill="1" applyBorder="1" applyAlignment="1">
      <alignment horizontal="justify" vertical="top" wrapText="1"/>
    </xf>
    <xf numFmtId="4" fontId="55" fillId="4" borderId="10" xfId="0" applyNumberFormat="1" applyFont="1" applyFill="1" applyBorder="1" applyAlignment="1">
      <alignment vertical="top"/>
    </xf>
    <xf numFmtId="4" fontId="55" fillId="0" borderId="10" xfId="0" applyNumberFormat="1" applyFont="1" applyFill="1" applyBorder="1" applyAlignment="1">
      <alignment vertical="top"/>
    </xf>
    <xf numFmtId="4" fontId="20" fillId="0" borderId="10" xfId="0" applyNumberFormat="1" applyFont="1" applyFill="1" applyBorder="1" applyAlignment="1">
      <alignment vertical="top"/>
    </xf>
    <xf numFmtId="4" fontId="55" fillId="24" borderId="10" xfId="0" applyNumberFormat="1" applyFont="1" applyFill="1" applyBorder="1" applyAlignment="1">
      <alignment vertical="top"/>
    </xf>
    <xf numFmtId="49" fontId="20" fillId="4" borderId="10" xfId="0" applyNumberFormat="1" applyFont="1" applyFill="1" applyBorder="1" applyAlignment="1">
      <alignment horizontal="center" vertical="center"/>
    </xf>
    <xf numFmtId="3" fontId="55" fillId="4" borderId="10" xfId="0" applyNumberFormat="1" applyFont="1" applyFill="1" applyBorder="1" applyAlignment="1">
      <alignment horizontal="center" vertical="center"/>
    </xf>
    <xf numFmtId="0" fontId="55" fillId="4" borderId="10" xfId="0" applyNumberFormat="1" applyFont="1" applyFill="1" applyBorder="1" applyAlignment="1">
      <alignment horizontal="center" vertical="center"/>
    </xf>
    <xf numFmtId="1" fontId="55" fillId="4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vertical="top"/>
    </xf>
    <xf numFmtId="49" fontId="55" fillId="0" borderId="10" xfId="0" applyNumberFormat="1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justify" vertical="center" wrapText="1"/>
    </xf>
    <xf numFmtId="1" fontId="55" fillId="4" borderId="10" xfId="0" applyNumberFormat="1" applyFont="1" applyFill="1" applyBorder="1" applyAlignment="1">
      <alignment horizontal="justify" vertical="top" wrapText="1"/>
    </xf>
    <xf numFmtId="49" fontId="4" fillId="4" borderId="10" xfId="0" applyNumberFormat="1" applyFont="1" applyFill="1" applyBorder="1" applyAlignment="1">
      <alignment horizontal="justify"/>
    </xf>
    <xf numFmtId="0" fontId="33" fillId="24" borderId="10" xfId="0" applyFont="1" applyFill="1" applyBorder="1" applyAlignment="1">
      <alignment horizontal="justify" vertical="top" wrapText="1"/>
    </xf>
    <xf numFmtId="49" fontId="43" fillId="0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4" fontId="0" fillId="24" borderId="0" xfId="0" applyNumberFormat="1" applyFill="1" applyBorder="1" applyAlignment="1">
      <alignment/>
    </xf>
    <xf numFmtId="4" fontId="33" fillId="24" borderId="0" xfId="0" applyNumberFormat="1" applyFont="1" applyFill="1" applyBorder="1" applyAlignment="1">
      <alignment horizontal="center"/>
    </xf>
    <xf numFmtId="0" fontId="34" fillId="24" borderId="10" xfId="0" applyFont="1" applyFill="1" applyBorder="1" applyAlignment="1">
      <alignment vertical="top" wrapText="1"/>
    </xf>
    <xf numFmtId="0" fontId="34" fillId="24" borderId="1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wrapText="1"/>
    </xf>
    <xf numFmtId="3" fontId="1" fillId="24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49" fontId="4" fillId="4" borderId="10" xfId="0" applyNumberFormat="1" applyFont="1" applyFill="1" applyBorder="1" applyAlignment="1">
      <alignment horizontal="justify" vertical="top"/>
    </xf>
    <xf numFmtId="4" fontId="8" fillId="0" borderId="1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8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4" fontId="1" fillId="0" borderId="10" xfId="0" applyNumberFormat="1" applyFont="1" applyFill="1" applyBorder="1" applyAlignment="1">
      <alignment vertical="center"/>
    </xf>
    <xf numFmtId="0" fontId="57" fillId="0" borderId="10" xfId="0" applyNumberFormat="1" applyFont="1" applyFill="1" applyBorder="1" applyAlignment="1">
      <alignment horizontal="justify" vertical="center" wrapText="1"/>
    </xf>
    <xf numFmtId="4" fontId="57" fillId="0" borderId="10" xfId="0" applyNumberFormat="1" applyFont="1" applyFill="1" applyBorder="1" applyAlignment="1">
      <alignment vertical="center" wrapText="1"/>
    </xf>
    <xf numFmtId="4" fontId="57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57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4" fontId="57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0" fontId="1" fillId="20" borderId="10" xfId="0" applyNumberFormat="1" applyFont="1" applyFill="1" applyBorder="1" applyAlignment="1">
      <alignment vertical="center" wrapText="1"/>
    </xf>
    <xf numFmtId="0" fontId="58" fillId="20" borderId="0" xfId="0" applyFont="1" applyFill="1" applyAlignment="1">
      <alignment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" fontId="1" fillId="28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justify" vertical="top"/>
    </xf>
    <xf numFmtId="0" fontId="8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justify" vertical="top"/>
    </xf>
    <xf numFmtId="49" fontId="57" fillId="0" borderId="10" xfId="0" applyNumberFormat="1" applyFont="1" applyFill="1" applyBorder="1" applyAlignment="1">
      <alignment horizontal="justify" vertical="top"/>
    </xf>
    <xf numFmtId="0" fontId="57" fillId="0" borderId="10" xfId="0" applyNumberFormat="1" applyFont="1" applyFill="1" applyBorder="1" applyAlignment="1">
      <alignment horizontal="justify" vertical="top" wrapText="1"/>
    </xf>
    <xf numFmtId="49" fontId="1" fillId="20" borderId="10" xfId="0" applyNumberFormat="1" applyFont="1" applyFill="1" applyBorder="1" applyAlignment="1">
      <alignment horizontal="justify" vertical="top"/>
    </xf>
    <xf numFmtId="0" fontId="1" fillId="20" borderId="10" xfId="0" applyNumberFormat="1" applyFont="1" applyFill="1" applyBorder="1" applyAlignment="1">
      <alignment horizontal="justify" vertical="top" wrapText="1"/>
    </xf>
    <xf numFmtId="0" fontId="58" fillId="20" borderId="0" xfId="0" applyFont="1" applyFill="1" applyAlignment="1">
      <alignment horizontal="justify" vertical="top" wrapText="1"/>
    </xf>
    <xf numFmtId="49" fontId="1" fillId="24" borderId="10" xfId="0" applyNumberFormat="1" applyFont="1" applyFill="1" applyBorder="1" applyAlignment="1">
      <alignment horizontal="justify" vertical="top"/>
    </xf>
    <xf numFmtId="0" fontId="1" fillId="24" borderId="10" xfId="0" applyNumberFormat="1" applyFont="1" applyFill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justify" vertical="top" wrapText="1"/>
    </xf>
    <xf numFmtId="4" fontId="1" fillId="24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justify"/>
    </xf>
    <xf numFmtId="4" fontId="4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0" xfId="53" applyFont="1" applyBorder="1" applyAlignment="1">
      <alignment horizontal="center" vertical="justify"/>
      <protection/>
    </xf>
    <xf numFmtId="0" fontId="1" fillId="0" borderId="10" xfId="62" applyNumberFormat="1" applyFont="1" applyBorder="1" applyAlignment="1">
      <alignment vertical="top" wrapText="1"/>
      <protection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Border="1" applyAlignment="1">
      <alignment vertical="center"/>
    </xf>
    <xf numFmtId="49" fontId="33" fillId="22" borderId="10" xfId="0" applyNumberFormat="1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vertical="top"/>
    </xf>
    <xf numFmtId="1" fontId="20" fillId="4" borderId="10" xfId="0" applyNumberFormat="1" applyFont="1" applyFill="1" applyBorder="1" applyAlignment="1">
      <alignment horizontal="center" vertical="center"/>
    </xf>
    <xf numFmtId="3" fontId="55" fillId="4" borderId="10" xfId="0" applyNumberFormat="1" applyFont="1" applyFill="1" applyBorder="1" applyAlignment="1">
      <alignment vertical="top" wrapText="1"/>
    </xf>
    <xf numFmtId="3" fontId="20" fillId="0" borderId="10" xfId="0" applyNumberFormat="1" applyFont="1" applyFill="1" applyBorder="1" applyAlignment="1">
      <alignment vertical="top"/>
    </xf>
    <xf numFmtId="49" fontId="43" fillId="24" borderId="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top" wrapText="1"/>
    </xf>
    <xf numFmtId="4" fontId="33" fillId="0" borderId="10" xfId="0" applyNumberFormat="1" applyFont="1" applyFill="1" applyBorder="1" applyAlignment="1">
      <alignment horizontal="center" vertical="center"/>
    </xf>
    <xf numFmtId="4" fontId="23" fillId="17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33" fillId="24" borderId="0" xfId="0" applyNumberFormat="1" applyFont="1" applyFill="1" applyAlignment="1">
      <alignment horizontal="right"/>
    </xf>
    <xf numFmtId="49" fontId="33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Alignment="1">
      <alignment/>
    </xf>
    <xf numFmtId="4" fontId="26" fillId="0" borderId="0" xfId="0" applyNumberFormat="1" applyFont="1" applyBorder="1" applyAlignment="1">
      <alignment/>
    </xf>
    <xf numFmtId="3" fontId="4" fillId="4" borderId="12" xfId="0" applyNumberFormat="1" applyFont="1" applyFill="1" applyBorder="1" applyAlignment="1">
      <alignment horizontal="justify" vertical="center" wrapText="1"/>
    </xf>
    <xf numFmtId="3" fontId="33" fillId="22" borderId="10" xfId="0" applyNumberFormat="1" applyFont="1" applyFill="1" applyBorder="1" applyAlignment="1">
      <alignment horizontal="justify" vertical="center" wrapText="1"/>
    </xf>
    <xf numFmtId="1" fontId="4" fillId="4" borderId="10" xfId="0" applyNumberFormat="1" applyFont="1" applyFill="1" applyBorder="1" applyAlignment="1">
      <alignment horizontal="justify" vertical="center" wrapText="1"/>
    </xf>
    <xf numFmtId="3" fontId="4" fillId="4" borderId="10" xfId="0" applyNumberFormat="1" applyFont="1" applyFill="1" applyBorder="1" applyAlignment="1">
      <alignment horizontal="justify" vertical="center" wrapText="1"/>
    </xf>
    <xf numFmtId="3" fontId="33" fillId="0" borderId="14" xfId="0" applyNumberFormat="1" applyFont="1" applyFill="1" applyBorder="1" applyAlignment="1">
      <alignment horizontal="justify" vertical="center" wrapText="1"/>
    </xf>
    <xf numFmtId="0" fontId="0" fillId="25" borderId="0" xfId="0" applyFill="1" applyAlignment="1">
      <alignment/>
    </xf>
    <xf numFmtId="4" fontId="0" fillId="24" borderId="0" xfId="0" applyNumberFormat="1" applyFill="1" applyAlignment="1">
      <alignment/>
    </xf>
    <xf numFmtId="4" fontId="23" fillId="0" borderId="10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wrapText="1"/>
    </xf>
    <xf numFmtId="0" fontId="33" fillId="24" borderId="16" xfId="0" applyFont="1" applyFill="1" applyBorder="1" applyAlignment="1">
      <alignment horizontal="center" vertical="center" wrapText="1"/>
    </xf>
    <xf numFmtId="0" fontId="46" fillId="24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3" fillId="17" borderId="0" xfId="0" applyFont="1" applyFill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vertical="top"/>
    </xf>
    <xf numFmtId="49" fontId="8" fillId="24" borderId="10" xfId="0" applyNumberFormat="1" applyFont="1" applyFill="1" applyBorder="1" applyAlignment="1">
      <alignment horizontal="justify" vertical="top"/>
    </xf>
    <xf numFmtId="0" fontId="8" fillId="24" borderId="10" xfId="0" applyNumberFormat="1" applyFont="1" applyFill="1" applyBorder="1" applyAlignment="1">
      <alignment horizontal="justify" vertical="top" wrapText="1"/>
    </xf>
    <xf numFmtId="0" fontId="11" fillId="24" borderId="0" xfId="0" applyFont="1" applyFill="1" applyAlignment="1">
      <alignment vertical="center"/>
    </xf>
    <xf numFmtId="3" fontId="11" fillId="24" borderId="10" xfId="0" applyNumberFormat="1" applyFont="1" applyFill="1" applyBorder="1" applyAlignment="1">
      <alignment vertical="center"/>
    </xf>
    <xf numFmtId="49" fontId="57" fillId="24" borderId="10" xfId="0" applyNumberFormat="1" applyFont="1" applyFill="1" applyBorder="1" applyAlignment="1">
      <alignment horizontal="justify" vertical="top"/>
    </xf>
    <xf numFmtId="4" fontId="1" fillId="24" borderId="10" xfId="0" applyNumberFormat="1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justify" vertical="top" wrapText="1"/>
    </xf>
    <xf numFmtId="49" fontId="20" fillId="24" borderId="10" xfId="0" applyNumberFormat="1" applyFont="1" applyFill="1" applyBorder="1" applyAlignment="1">
      <alignment horizontal="center" vertical="center"/>
    </xf>
    <xf numFmtId="3" fontId="20" fillId="24" borderId="10" xfId="0" applyNumberFormat="1" applyFont="1" applyFill="1" applyBorder="1" applyAlignment="1">
      <alignment horizontal="justify" vertical="top" wrapText="1"/>
    </xf>
    <xf numFmtId="4" fontId="20" fillId="24" borderId="10" xfId="0" applyNumberFormat="1" applyFont="1" applyFill="1" applyBorder="1" applyAlignment="1">
      <alignment vertical="top"/>
    </xf>
    <xf numFmtId="0" fontId="20" fillId="24" borderId="10" xfId="0" applyNumberFormat="1" applyFont="1" applyFill="1" applyBorder="1" applyAlignment="1">
      <alignment horizontal="center" vertical="center"/>
    </xf>
    <xf numFmtId="3" fontId="20" fillId="24" borderId="10" xfId="0" applyNumberFormat="1" applyFont="1" applyFill="1" applyBorder="1" applyAlignment="1">
      <alignment horizontal="justify" vertical="center" wrapText="1"/>
    </xf>
    <xf numFmtId="3" fontId="20" fillId="24" borderId="10" xfId="0" applyNumberFormat="1" applyFont="1" applyFill="1" applyBorder="1" applyAlignment="1">
      <alignment vertical="top" wrapText="1"/>
    </xf>
    <xf numFmtId="1" fontId="20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3" fontId="20" fillId="24" borderId="0" xfId="0" applyNumberFormat="1" applyFont="1" applyFill="1" applyAlignment="1">
      <alignment horizontal="justify" vertical="top" wrapText="1"/>
    </xf>
    <xf numFmtId="3" fontId="20" fillId="0" borderId="10" xfId="0" applyNumberFormat="1" applyFont="1" applyFill="1" applyBorder="1" applyAlignment="1">
      <alignment horizontal="justify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justify" vertical="top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0" fontId="20" fillId="24" borderId="17" xfId="0" applyNumberFormat="1" applyFont="1" applyFill="1" applyBorder="1" applyAlignment="1">
      <alignment horizontal="justify" vertical="top" wrapText="1"/>
    </xf>
    <xf numFmtId="0" fontId="20" fillId="24" borderId="0" xfId="0" applyFont="1" applyFill="1" applyAlignment="1">
      <alignment vertical="top" wrapText="1"/>
    </xf>
    <xf numFmtId="49" fontId="20" fillId="24" borderId="10" xfId="0" applyNumberFormat="1" applyFont="1" applyFill="1" applyBorder="1" applyAlignment="1">
      <alignment horizontal="justify" vertical="top" wrapText="1"/>
    </xf>
    <xf numFmtId="0" fontId="20" fillId="24" borderId="10" xfId="0" applyFont="1" applyFill="1" applyBorder="1" applyAlignment="1">
      <alignment horizontal="justify" vertical="top" wrapText="1"/>
    </xf>
    <xf numFmtId="4" fontId="33" fillId="0" borderId="12" xfId="0" applyNumberFormat="1" applyFont="1" applyFill="1" applyBorder="1" applyAlignment="1">
      <alignment horizontal="left" vertical="top" wrapText="1"/>
    </xf>
    <xf numFmtId="0" fontId="33" fillId="0" borderId="0" xfId="0" applyFont="1" applyFill="1" applyAlignment="1">
      <alignment horizontal="justify" vertical="center" wrapText="1"/>
    </xf>
    <xf numFmtId="3" fontId="33" fillId="0" borderId="12" xfId="0" applyNumberFormat="1" applyFont="1" applyFill="1" applyBorder="1" applyAlignment="1">
      <alignment horizontal="justify" vertical="center" wrapText="1"/>
    </xf>
    <xf numFmtId="0" fontId="33" fillId="0" borderId="10" xfId="0" applyFont="1" applyBorder="1" applyAlignment="1">
      <alignment horizontal="justify" vertical="center" wrapText="1"/>
    </xf>
    <xf numFmtId="3" fontId="33" fillId="0" borderId="10" xfId="0" applyNumberFormat="1" applyFont="1" applyFill="1" applyBorder="1" applyAlignment="1">
      <alignment horizontal="justify" vertical="center" wrapText="1"/>
    </xf>
    <xf numFmtId="0" fontId="33" fillId="4" borderId="10" xfId="0" applyFont="1" applyFill="1" applyBorder="1" applyAlignment="1">
      <alignment horizontal="justify" vertical="top" wrapText="1"/>
    </xf>
    <xf numFmtId="1" fontId="33" fillId="0" borderId="12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3" fontId="33" fillId="24" borderId="10" xfId="0" applyNumberFormat="1" applyFont="1" applyFill="1" applyBorder="1" applyAlignment="1">
      <alignment horizontal="justify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top" wrapText="1"/>
    </xf>
    <xf numFmtId="0" fontId="33" fillId="24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3" fillId="17" borderId="10" xfId="0" applyFont="1" applyFill="1" applyBorder="1" applyAlignment="1">
      <alignment horizontal="justify" vertical="top" wrapText="1"/>
    </xf>
    <xf numFmtId="4" fontId="4" fillId="4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/>
    </xf>
    <xf numFmtId="49" fontId="4" fillId="4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49" fontId="33" fillId="24" borderId="10" xfId="0" applyNumberFormat="1" applyFont="1" applyFill="1" applyBorder="1" applyAlignment="1">
      <alignment horizontal="center" vertical="center"/>
    </xf>
    <xf numFmtId="49" fontId="33" fillId="4" borderId="10" xfId="0" applyNumberFormat="1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>
      <alignment horizontal="center" vertical="center"/>
    </xf>
    <xf numFmtId="1" fontId="33" fillId="0" borderId="10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1" fontId="33" fillId="4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10" xfId="0" applyNumberFormat="1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/>
    </xf>
    <xf numFmtId="49" fontId="33" fillId="0" borderId="17" xfId="0" applyNumberFormat="1" applyFont="1" applyFill="1" applyBorder="1" applyAlignment="1">
      <alignment horizontal="center" vertical="center"/>
    </xf>
    <xf numFmtId="3" fontId="33" fillId="0" borderId="17" xfId="0" applyNumberFormat="1" applyFont="1" applyFill="1" applyBorder="1" applyAlignment="1">
      <alignment horizontal="justify" vertical="center" wrapText="1"/>
    </xf>
    <xf numFmtId="4" fontId="20" fillId="0" borderId="13" xfId="0" applyNumberFormat="1" applyFont="1" applyFill="1" applyBorder="1" applyAlignment="1">
      <alignment vertical="top" wrapText="1"/>
    </xf>
    <xf numFmtId="4" fontId="20" fillId="0" borderId="17" xfId="0" applyNumberFormat="1" applyFont="1" applyFill="1" applyBorder="1" applyAlignment="1">
      <alignment vertical="top" wrapText="1"/>
    </xf>
    <xf numFmtId="4" fontId="20" fillId="0" borderId="13" xfId="0" applyNumberFormat="1" applyFont="1" applyFill="1" applyBorder="1" applyAlignment="1">
      <alignment vertical="top"/>
    </xf>
    <xf numFmtId="4" fontId="20" fillId="0" borderId="17" xfId="0" applyNumberFormat="1" applyFont="1" applyFill="1" applyBorder="1" applyAlignment="1">
      <alignment vertical="top"/>
    </xf>
    <xf numFmtId="1" fontId="20" fillId="24" borderId="10" xfId="0" applyNumberFormat="1" applyFont="1" applyFill="1" applyBorder="1" applyAlignment="1">
      <alignment horizontal="justify" vertical="top" wrapText="1"/>
    </xf>
    <xf numFmtId="0" fontId="33" fillId="0" borderId="13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2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24" borderId="10" xfId="0" applyNumberFormat="1" applyFont="1" applyFill="1" applyBorder="1" applyAlignment="1">
      <alignment vertical="center" wrapText="1"/>
    </xf>
    <xf numFmtId="4" fontId="33" fillId="0" borderId="13" xfId="0" applyNumberFormat="1" applyFont="1" applyFill="1" applyBorder="1" applyAlignment="1">
      <alignment horizontal="center"/>
    </xf>
    <xf numFmtId="4" fontId="33" fillId="0" borderId="17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top"/>
    </xf>
    <xf numFmtId="0" fontId="1" fillId="0" borderId="10" xfId="0" applyFont="1" applyBorder="1" applyAlignment="1">
      <alignment/>
    </xf>
    <xf numFmtId="0" fontId="33" fillId="0" borderId="10" xfId="0" applyFont="1" applyFill="1" applyBorder="1" applyAlignment="1">
      <alignment horizontal="justify" vertical="top"/>
    </xf>
    <xf numFmtId="4" fontId="50" fillId="0" borderId="0" xfId="0" applyNumberFormat="1" applyFont="1" applyAlignment="1">
      <alignment horizontal="center" vertical="center"/>
    </xf>
    <xf numFmtId="4" fontId="62" fillId="0" borderId="0" xfId="0" applyNumberFormat="1" applyFont="1" applyFill="1" applyAlignment="1">
      <alignment/>
    </xf>
    <xf numFmtId="49" fontId="55" fillId="0" borderId="10" xfId="0" applyNumberFormat="1" applyFont="1" applyBorder="1" applyAlignment="1">
      <alignment horizontal="center" vertical="center"/>
    </xf>
    <xf numFmtId="4" fontId="64" fillId="0" borderId="10" xfId="0" applyNumberFormat="1" applyFont="1" applyFill="1" applyBorder="1" applyAlignment="1">
      <alignment vertical="center"/>
    </xf>
    <xf numFmtId="4" fontId="28" fillId="0" borderId="10" xfId="0" applyNumberFormat="1" applyFont="1" applyFill="1" applyBorder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" fontId="28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55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28" fillId="24" borderId="0" xfId="0" applyFont="1" applyFill="1" applyAlignment="1">
      <alignment vertical="center" wrapText="1"/>
    </xf>
    <xf numFmtId="1" fontId="1" fillId="24" borderId="0" xfId="0" applyNumberFormat="1" applyFont="1" applyFill="1" applyBorder="1" applyAlignment="1">
      <alignment/>
    </xf>
    <xf numFmtId="1" fontId="23" fillId="24" borderId="0" xfId="0" applyNumberFormat="1" applyFont="1" applyFill="1" applyBorder="1" applyAlignment="1">
      <alignment horizontal="right"/>
    </xf>
    <xf numFmtId="4" fontId="28" fillId="24" borderId="10" xfId="0" applyNumberFormat="1" applyFont="1" applyFill="1" applyBorder="1" applyAlignment="1">
      <alignment/>
    </xf>
    <xf numFmtId="1" fontId="50" fillId="24" borderId="0" xfId="0" applyNumberFormat="1" applyFont="1" applyFill="1" applyAlignment="1">
      <alignment/>
    </xf>
    <xf numFmtId="4" fontId="23" fillId="24" borderId="0" xfId="0" applyNumberFormat="1" applyFont="1" applyFill="1" applyAlignment="1">
      <alignment/>
    </xf>
    <xf numFmtId="1" fontId="23" fillId="24" borderId="0" xfId="0" applyNumberFormat="1" applyFon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" fontId="1" fillId="24" borderId="0" xfId="0" applyNumberFormat="1" applyFont="1" applyFill="1" applyAlignment="1">
      <alignment/>
    </xf>
    <xf numFmtId="4" fontId="23" fillId="4" borderId="10" xfId="0" applyNumberFormat="1" applyFont="1" applyFill="1" applyBorder="1" applyAlignment="1">
      <alignment vertical="center"/>
    </xf>
    <xf numFmtId="4" fontId="28" fillId="4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/>
    </xf>
    <xf numFmtId="196" fontId="4" fillId="0" borderId="10" xfId="0" applyNumberFormat="1" applyFont="1" applyBorder="1" applyAlignment="1">
      <alignment vertical="center" wrapText="1"/>
    </xf>
    <xf numFmtId="196" fontId="33" fillId="0" borderId="10" xfId="0" applyNumberFormat="1" applyFont="1" applyBorder="1" applyAlignment="1">
      <alignment vertical="center" wrapText="1"/>
    </xf>
    <xf numFmtId="196" fontId="33" fillId="24" borderId="10" xfId="0" applyNumberFormat="1" applyFont="1" applyFill="1" applyBorder="1" applyAlignment="1">
      <alignment vertical="center" wrapText="1"/>
    </xf>
    <xf numFmtId="196" fontId="4" fillId="0" borderId="17" xfId="0" applyNumberFormat="1" applyFont="1" applyBorder="1" applyAlignment="1">
      <alignment vertical="center" wrapText="1"/>
    </xf>
    <xf numFmtId="0" fontId="3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28" fillId="4" borderId="10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3" fontId="1" fillId="4" borderId="13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4" borderId="10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4" fontId="23" fillId="0" borderId="0" xfId="0" applyNumberFormat="1" applyFont="1" applyFill="1" applyBorder="1" applyAlignment="1">
      <alignment horizontal="center"/>
    </xf>
    <xf numFmtId="49" fontId="4" fillId="4" borderId="17" xfId="0" applyNumberFormat="1" applyFont="1" applyFill="1" applyBorder="1" applyAlignment="1">
      <alignment horizontal="justify" vertical="top"/>
    </xf>
    <xf numFmtId="4" fontId="4" fillId="4" borderId="17" xfId="0" applyNumberFormat="1" applyFont="1" applyFill="1" applyBorder="1" applyAlignment="1">
      <alignment horizontal="center" vertical="center"/>
    </xf>
    <xf numFmtId="4" fontId="50" fillId="0" borderId="0" xfId="0" applyNumberFormat="1" applyFont="1" applyFill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4" fontId="11" fillId="0" borderId="10" xfId="0" applyNumberFormat="1" applyFont="1" applyFill="1" applyBorder="1" applyAlignment="1">
      <alignment vertical="center"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0" fillId="0" borderId="0" xfId="0" applyFont="1" applyAlignment="1">
      <alignment/>
    </xf>
    <xf numFmtId="0" fontId="20" fillId="0" borderId="0" xfId="53" applyFont="1" applyAlignment="1">
      <alignment horizontal="right"/>
      <protection/>
    </xf>
    <xf numFmtId="3" fontId="33" fillId="24" borderId="10" xfId="0" applyNumberFormat="1" applyFont="1" applyFill="1" applyBorder="1" applyAlignment="1">
      <alignment horizontal="justify" vertical="top" wrapText="1"/>
    </xf>
    <xf numFmtId="49" fontId="33" fillId="0" borderId="17" xfId="0" applyNumberFormat="1" applyFont="1" applyFill="1" applyBorder="1" applyAlignment="1">
      <alignment vertical="center"/>
    </xf>
    <xf numFmtId="3" fontId="33" fillId="0" borderId="17" xfId="0" applyNumberFormat="1" applyFont="1" applyFill="1" applyBorder="1" applyAlignment="1">
      <alignment vertical="center" wrapText="1"/>
    </xf>
    <xf numFmtId="4" fontId="30" fillId="0" borderId="0" xfId="0" applyNumberFormat="1" applyFont="1" applyFill="1" applyAlignment="1">
      <alignment/>
    </xf>
    <xf numFmtId="4" fontId="33" fillId="0" borderId="10" xfId="54" applyNumberFormat="1" applyFont="1" applyFill="1" applyBorder="1" applyAlignment="1">
      <alignment horizontal="center" wrapText="1"/>
      <protection/>
    </xf>
    <xf numFmtId="4" fontId="50" fillId="0" borderId="0" xfId="0" applyNumberFormat="1" applyFont="1" applyFill="1" applyBorder="1" applyAlignment="1">
      <alignment horizontal="right" vertical="center"/>
    </xf>
    <xf numFmtId="0" fontId="33" fillId="0" borderId="13" xfId="0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/>
    </xf>
    <xf numFmtId="3" fontId="33" fillId="0" borderId="0" xfId="0" applyNumberFormat="1" applyFont="1" applyAlignment="1">
      <alignment/>
    </xf>
    <xf numFmtId="3" fontId="68" fillId="0" borderId="0" xfId="0" applyNumberFormat="1" applyFont="1" applyAlignment="1">
      <alignment/>
    </xf>
    <xf numFmtId="3" fontId="33" fillId="24" borderId="0" xfId="0" applyNumberFormat="1" applyFont="1" applyFill="1" applyAlignment="1">
      <alignment/>
    </xf>
    <xf numFmtId="3" fontId="69" fillId="24" borderId="0" xfId="0" applyNumberFormat="1" applyFont="1" applyFill="1" applyAlignment="1">
      <alignment/>
    </xf>
    <xf numFmtId="4" fontId="68" fillId="0" borderId="0" xfId="0" applyNumberFormat="1" applyFont="1" applyAlignment="1">
      <alignment/>
    </xf>
    <xf numFmtId="4" fontId="33" fillId="0" borderId="0" xfId="0" applyNumberFormat="1" applyFont="1" applyFill="1" applyAlignment="1">
      <alignment vertical="center"/>
    </xf>
    <xf numFmtId="4" fontId="68" fillId="0" borderId="0" xfId="0" applyNumberFormat="1" applyFont="1" applyAlignment="1">
      <alignment vertical="center"/>
    </xf>
    <xf numFmtId="4" fontId="70" fillId="0" borderId="0" xfId="0" applyNumberFormat="1" applyFont="1" applyAlignment="1">
      <alignment vertical="center"/>
    </xf>
    <xf numFmtId="3" fontId="48" fillId="24" borderId="0" xfId="0" applyNumberFormat="1" applyFont="1" applyFill="1" applyAlignment="1">
      <alignment/>
    </xf>
    <xf numFmtId="4" fontId="33" fillId="0" borderId="10" xfId="0" applyNumberFormat="1" applyFont="1" applyFill="1" applyBorder="1" applyAlignment="1">
      <alignment vertical="center"/>
    </xf>
    <xf numFmtId="4" fontId="50" fillId="0" borderId="0" xfId="0" applyNumberFormat="1" applyFont="1" applyFill="1" applyBorder="1" applyAlignment="1">
      <alignment horizontal="center"/>
    </xf>
    <xf numFmtId="0" fontId="63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/>
    </xf>
    <xf numFmtId="4" fontId="50" fillId="0" borderId="0" xfId="0" applyNumberFormat="1" applyFont="1" applyBorder="1" applyAlignment="1">
      <alignment horizontal="right" vertical="center"/>
    </xf>
    <xf numFmtId="4" fontId="63" fillId="0" borderId="0" xfId="0" applyNumberFormat="1" applyFont="1" applyAlignment="1">
      <alignment horizontal="right" vertical="center"/>
    </xf>
    <xf numFmtId="0" fontId="63" fillId="0" borderId="0" xfId="0" applyFont="1" applyFill="1" applyAlignment="1">
      <alignment horizontal="right" vertical="center"/>
    </xf>
    <xf numFmtId="49" fontId="50" fillId="0" borderId="0" xfId="0" applyNumberFormat="1" applyFont="1" applyFill="1" applyBorder="1" applyAlignment="1">
      <alignment horizontal="right" vertical="center"/>
    </xf>
    <xf numFmtId="0" fontId="63" fillId="0" borderId="0" xfId="0" applyFont="1" applyBorder="1" applyAlignment="1">
      <alignment horizontal="right" vertical="center"/>
    </xf>
    <xf numFmtId="0" fontId="63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4" fontId="50" fillId="0" borderId="0" xfId="0" applyNumberFormat="1" applyFont="1" applyAlignment="1">
      <alignment horizontal="center"/>
    </xf>
    <xf numFmtId="4" fontId="50" fillId="0" borderId="0" xfId="0" applyNumberFormat="1" applyFont="1" applyFill="1" applyAlignment="1">
      <alignment horizontal="center"/>
    </xf>
    <xf numFmtId="3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4" fontId="63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4" fontId="50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" fontId="23" fillId="25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 horizontal="center"/>
    </xf>
    <xf numFmtId="4" fontId="23" fillId="0" borderId="0" xfId="0" applyNumberFormat="1" applyFont="1" applyFill="1" applyAlignment="1">
      <alignment horizontal="center"/>
    </xf>
    <xf numFmtId="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" fontId="23" fillId="25" borderId="0" xfId="0" applyNumberFormat="1" applyFont="1" applyFill="1" applyAlignment="1">
      <alignment horizontal="center" vertical="center"/>
    </xf>
    <xf numFmtId="3" fontId="4" fillId="4" borderId="10" xfId="0" applyNumberFormat="1" applyFont="1" applyFill="1" applyBorder="1" applyAlignment="1">
      <alignment horizontal="justify" vertical="top" wrapText="1"/>
    </xf>
    <xf numFmtId="0" fontId="33" fillId="0" borderId="10" xfId="0" applyFont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" fontId="33" fillId="4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vertical="top" wrapText="1"/>
    </xf>
    <xf numFmtId="4" fontId="3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4" fontId="63" fillId="0" borderId="0" xfId="0" applyNumberFormat="1" applyFont="1" applyAlignment="1">
      <alignment/>
    </xf>
    <xf numFmtId="4" fontId="33" fillId="0" borderId="13" xfId="0" applyNumberFormat="1" applyFont="1" applyBorder="1" applyAlignment="1">
      <alignment horizontal="center" wrapText="1"/>
    </xf>
    <xf numFmtId="4" fontId="33" fillId="24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0" fontId="33" fillId="0" borderId="10" xfId="0" applyNumberFormat="1" applyFont="1" applyFill="1" applyBorder="1" applyAlignment="1">
      <alignment horizontal="justify" vertical="top" wrapText="1"/>
    </xf>
    <xf numFmtId="0" fontId="33" fillId="0" borderId="17" xfId="0" applyFont="1" applyFill="1" applyBorder="1" applyAlignment="1">
      <alignment horizontal="justify" vertical="top" wrapText="1"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justify" vertical="top" wrapText="1"/>
    </xf>
    <xf numFmtId="4" fontId="4" fillId="0" borderId="13" xfId="0" applyNumberFormat="1" applyFont="1" applyFill="1" applyBorder="1" applyAlignment="1">
      <alignment horizontal="center" wrapText="1"/>
    </xf>
    <xf numFmtId="2" fontId="33" fillId="0" borderId="0" xfId="0" applyNumberFormat="1" applyFont="1" applyFill="1" applyAlignment="1">
      <alignment vertical="top" wrapText="1"/>
    </xf>
    <xf numFmtId="0" fontId="33" fillId="0" borderId="14" xfId="0" applyFont="1" applyFill="1" applyBorder="1" applyAlignment="1">
      <alignment horizontal="left" vertical="top" wrapText="1"/>
    </xf>
    <xf numFmtId="0" fontId="55" fillId="24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top" wrapText="1"/>
    </xf>
    <xf numFmtId="49" fontId="55" fillId="4" borderId="10" xfId="0" applyNumberFormat="1" applyFont="1" applyFill="1" applyBorder="1" applyAlignment="1">
      <alignment horizontal="justify" vertical="top"/>
    </xf>
    <xf numFmtId="49" fontId="55" fillId="4" borderId="17" xfId="0" applyNumberFormat="1" applyFont="1" applyFill="1" applyBorder="1" applyAlignment="1">
      <alignment horizontal="justify" vertical="top"/>
    </xf>
    <xf numFmtId="0" fontId="20" fillId="4" borderId="10" xfId="0" applyFont="1" applyFill="1" applyBorder="1" applyAlignment="1">
      <alignment horizontal="justify" vertical="top" wrapText="1"/>
    </xf>
    <xf numFmtId="0" fontId="20" fillId="24" borderId="10" xfId="0" applyFont="1" applyFill="1" applyBorder="1" applyAlignment="1">
      <alignment horizontal="center" vertical="top" wrapText="1"/>
    </xf>
    <xf numFmtId="0" fontId="33" fillId="0" borderId="13" xfId="0" applyFont="1" applyBorder="1" applyAlignment="1">
      <alignment horizontal="justify" vertical="top" wrapText="1"/>
    </xf>
    <xf numFmtId="4" fontId="47" fillId="24" borderId="0" xfId="0" applyNumberFormat="1" applyFont="1" applyFill="1" applyBorder="1" applyAlignment="1">
      <alignment/>
    </xf>
    <xf numFmtId="0" fontId="47" fillId="24" borderId="0" xfId="0" applyFont="1" applyFill="1" applyBorder="1" applyAlignment="1">
      <alignment/>
    </xf>
    <xf numFmtId="196" fontId="33" fillId="0" borderId="17" xfId="0" applyNumberFormat="1" applyFont="1" applyBorder="1" applyAlignment="1">
      <alignment vertical="center" wrapText="1"/>
    </xf>
    <xf numFmtId="4" fontId="23" fillId="4" borderId="17" xfId="0" applyNumberFormat="1" applyFont="1" applyFill="1" applyBorder="1" applyAlignment="1">
      <alignment vertical="center"/>
    </xf>
    <xf numFmtId="4" fontId="65" fillId="0" borderId="0" xfId="0" applyNumberFormat="1" applyFont="1" applyBorder="1" applyAlignment="1">
      <alignment vertical="center"/>
    </xf>
    <xf numFmtId="4" fontId="33" fillId="24" borderId="0" xfId="0" applyNumberFormat="1" applyFont="1" applyFill="1" applyAlignment="1">
      <alignment vertical="center"/>
    </xf>
    <xf numFmtId="4" fontId="70" fillId="24" borderId="0" xfId="0" applyNumberFormat="1" applyFont="1" applyFill="1" applyAlignment="1">
      <alignment vertical="center"/>
    </xf>
    <xf numFmtId="49" fontId="19" fillId="25" borderId="10" xfId="0" applyNumberFormat="1" applyFont="1" applyFill="1" applyBorder="1" applyAlignment="1">
      <alignment horizontal="center" vertical="center"/>
    </xf>
    <xf numFmtId="3" fontId="6" fillId="25" borderId="0" xfId="0" applyNumberFormat="1" applyFont="1" applyFill="1" applyAlignment="1">
      <alignment vertical="center"/>
    </xf>
    <xf numFmtId="4" fontId="33" fillId="25" borderId="0" xfId="0" applyNumberFormat="1" applyFont="1" applyFill="1" applyAlignment="1">
      <alignment vertical="center"/>
    </xf>
    <xf numFmtId="4" fontId="68" fillId="25" borderId="0" xfId="0" applyNumberFormat="1" applyFont="1" applyFill="1" applyAlignment="1">
      <alignment vertical="center"/>
    </xf>
    <xf numFmtId="3" fontId="5" fillId="25" borderId="0" xfId="0" applyNumberFormat="1" applyFont="1" applyFill="1" applyAlignment="1">
      <alignment vertical="center"/>
    </xf>
    <xf numFmtId="3" fontId="68" fillId="0" borderId="0" xfId="0" applyNumberFormat="1" applyFont="1" applyAlignment="1">
      <alignment vertical="center"/>
    </xf>
    <xf numFmtId="49" fontId="68" fillId="0" borderId="0" xfId="0" applyNumberFormat="1" applyFont="1" applyAlignment="1">
      <alignment/>
    </xf>
    <xf numFmtId="49" fontId="12" fillId="0" borderId="0" xfId="0" applyNumberFormat="1" applyFont="1" applyAlignment="1">
      <alignment horizontal="center"/>
    </xf>
    <xf numFmtId="4" fontId="2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justify" vertical="top" wrapText="1"/>
    </xf>
    <xf numFmtId="49" fontId="57" fillId="0" borderId="10" xfId="0" applyNumberFormat="1" applyFont="1" applyFill="1" applyBorder="1" applyAlignment="1">
      <alignment horizontal="justify" vertical="top" wrapText="1"/>
    </xf>
    <xf numFmtId="4" fontId="13" fillId="0" borderId="10" xfId="0" applyNumberFormat="1" applyFont="1" applyFill="1" applyBorder="1" applyAlignment="1">
      <alignment vertical="center"/>
    </xf>
    <xf numFmtId="4" fontId="11" fillId="24" borderId="10" xfId="0" applyNumberFormat="1" applyFont="1" applyFill="1" applyBorder="1" applyAlignment="1">
      <alignment vertical="center"/>
    </xf>
    <xf numFmtId="3" fontId="31" fillId="0" borderId="0" xfId="0" applyNumberFormat="1" applyFont="1" applyFill="1" applyAlignment="1">
      <alignment horizontal="justify" wrapText="1"/>
    </xf>
    <xf numFmtId="4" fontId="32" fillId="0" borderId="0" xfId="0" applyNumberFormat="1" applyFont="1" applyFill="1" applyBorder="1" applyAlignment="1">
      <alignment/>
    </xf>
    <xf numFmtId="4" fontId="32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0" fontId="29" fillId="0" borderId="0" xfId="0" applyFont="1" applyFill="1" applyAlignment="1">
      <alignment wrapText="1"/>
    </xf>
    <xf numFmtId="4" fontId="30" fillId="0" borderId="0" xfId="0" applyNumberFormat="1" applyFont="1" applyAlignment="1">
      <alignment wrapText="1"/>
    </xf>
    <xf numFmtId="0" fontId="20" fillId="24" borderId="0" xfId="0" applyFont="1" applyFill="1" applyAlignment="1">
      <alignment wrapText="1"/>
    </xf>
    <xf numFmtId="0" fontId="20" fillId="24" borderId="10" xfId="0" applyFont="1" applyFill="1" applyBorder="1" applyAlignment="1">
      <alignment vertical="top" wrapText="1"/>
    </xf>
    <xf numFmtId="49" fontId="33" fillId="24" borderId="17" xfId="0" applyNumberFormat="1" applyFont="1" applyFill="1" applyBorder="1" applyAlignment="1">
      <alignment horizontal="center" vertical="center"/>
    </xf>
    <xf numFmtId="3" fontId="33" fillId="24" borderId="17" xfId="0" applyNumberFormat="1" applyFont="1" applyFill="1" applyBorder="1" applyAlignment="1">
      <alignment vertical="center" wrapText="1"/>
    </xf>
    <xf numFmtId="0" fontId="33" fillId="24" borderId="0" xfId="0" applyFont="1" applyFill="1" applyAlignment="1">
      <alignment horizontal="justify" vertical="center" wrapText="1"/>
    </xf>
    <xf numFmtId="49" fontId="55" fillId="24" borderId="10" xfId="0" applyNumberFormat="1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vertical="center" wrapText="1"/>
    </xf>
    <xf numFmtId="49" fontId="43" fillId="25" borderId="10" xfId="0" applyNumberFormat="1" applyFont="1" applyFill="1" applyBorder="1" applyAlignment="1">
      <alignment horizontal="center" vertical="center"/>
    </xf>
    <xf numFmtId="2" fontId="33" fillId="0" borderId="14" xfId="0" applyNumberFormat="1" applyFont="1" applyBorder="1" applyAlignment="1">
      <alignment vertical="top" wrapText="1"/>
    </xf>
    <xf numFmtId="4" fontId="33" fillId="0" borderId="14" xfId="0" applyNumberFormat="1" applyFont="1" applyBorder="1" applyAlignment="1">
      <alignment/>
    </xf>
    <xf numFmtId="4" fontId="33" fillId="24" borderId="13" xfId="0" applyNumberFormat="1" applyFont="1" applyFill="1" applyBorder="1" applyAlignment="1">
      <alignment horizontal="center"/>
    </xf>
    <xf numFmtId="4" fontId="4" fillId="24" borderId="13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center" vertical="center"/>
    </xf>
    <xf numFmtId="4" fontId="33" fillId="0" borderId="0" xfId="0" applyNumberFormat="1" applyFont="1" applyFill="1" applyAlignment="1">
      <alignment/>
    </xf>
    <xf numFmtId="2" fontId="33" fillId="0" borderId="0" xfId="0" applyNumberFormat="1" applyFont="1" applyFill="1" applyAlignment="1">
      <alignment horizontal="justify" wrapText="1"/>
    </xf>
    <xf numFmtId="0" fontId="47" fillId="0" borderId="0" xfId="0" applyFont="1" applyFill="1" applyAlignment="1">
      <alignment/>
    </xf>
    <xf numFmtId="4" fontId="4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47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4" fontId="68" fillId="0" borderId="0" xfId="0" applyNumberFormat="1" applyFont="1" applyFill="1" applyAlignment="1">
      <alignment vertical="center"/>
    </xf>
    <xf numFmtId="3" fontId="68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/>
    </xf>
    <xf numFmtId="0" fontId="23" fillId="0" borderId="0" xfId="0" applyNumberFormat="1" applyFont="1" applyFill="1" applyAlignment="1">
      <alignment wrapText="1"/>
    </xf>
    <xf numFmtId="0" fontId="26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66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vertical="center"/>
    </xf>
    <xf numFmtId="4" fontId="28" fillId="0" borderId="17" xfId="0" applyNumberFormat="1" applyFont="1" applyFill="1" applyBorder="1" applyAlignment="1">
      <alignment vertical="center"/>
    </xf>
    <xf numFmtId="4" fontId="23" fillId="0" borderId="17" xfId="0" applyNumberFormat="1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/>
    </xf>
    <xf numFmtId="1" fontId="50" fillId="0" borderId="0" xfId="0" applyNumberFormat="1" applyFont="1" applyFill="1" applyAlignment="1">
      <alignment/>
    </xf>
    <xf numFmtId="4" fontId="23" fillId="0" borderId="0" xfId="0" applyNumberFormat="1" applyFont="1" applyFill="1" applyBorder="1" applyAlignment="1">
      <alignment/>
    </xf>
    <xf numFmtId="0" fontId="23" fillId="0" borderId="0" xfId="0" applyNumberFormat="1" applyFont="1" applyFill="1" applyAlignment="1">
      <alignment horizontal="center" wrapText="1"/>
    </xf>
    <xf numFmtId="0" fontId="26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horizontal="right" vertical="top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/>
    </xf>
    <xf numFmtId="3" fontId="29" fillId="0" borderId="0" xfId="0" applyNumberFormat="1" applyFont="1" applyFill="1" applyAlignment="1">
      <alignment/>
    </xf>
    <xf numFmtId="4" fontId="33" fillId="0" borderId="13" xfId="54" applyNumberFormat="1" applyFont="1" applyFill="1" applyBorder="1" applyAlignment="1">
      <alignment horizontal="center" wrapText="1"/>
      <protection/>
    </xf>
    <xf numFmtId="1" fontId="48" fillId="0" borderId="0" xfId="0" applyNumberFormat="1" applyFont="1" applyFill="1" applyAlignment="1">
      <alignment/>
    </xf>
    <xf numFmtId="4" fontId="33" fillId="0" borderId="17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justify" vertical="top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4" fontId="33" fillId="0" borderId="13" xfId="0" applyNumberFormat="1" applyFont="1" applyFill="1" applyBorder="1" applyAlignment="1">
      <alignment horizontal="center" vertical="center"/>
    </xf>
    <xf numFmtId="3" fontId="33" fillId="24" borderId="10" xfId="0" applyNumberFormat="1" applyFont="1" applyFill="1" applyBorder="1" applyAlignment="1">
      <alignment horizontal="left" vertical="center" wrapText="1"/>
    </xf>
    <xf numFmtId="49" fontId="33" fillId="0" borderId="13" xfId="0" applyNumberFormat="1" applyFont="1" applyFill="1" applyBorder="1" applyAlignment="1">
      <alignment horizontal="justify" vertical="center" wrapText="1"/>
    </xf>
    <xf numFmtId="3" fontId="4" fillId="4" borderId="10" xfId="0" applyNumberFormat="1" applyFont="1" applyFill="1" applyBorder="1" applyAlignment="1">
      <alignment horizontal="left" vertical="top" wrapText="1"/>
    </xf>
    <xf numFmtId="4" fontId="33" fillId="4" borderId="10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4" fontId="23" fillId="24" borderId="10" xfId="0" applyNumberFormat="1" applyFont="1" applyFill="1" applyBorder="1" applyAlignment="1">
      <alignment vertical="center"/>
    </xf>
    <xf numFmtId="4" fontId="28" fillId="24" borderId="10" xfId="0" applyNumberFormat="1" applyFont="1" applyFill="1" applyBorder="1" applyAlignment="1">
      <alignment vertical="center"/>
    </xf>
    <xf numFmtId="3" fontId="13" fillId="24" borderId="11" xfId="0" applyNumberFormat="1" applyFont="1" applyFill="1" applyBorder="1" applyAlignment="1">
      <alignment vertical="center"/>
    </xf>
    <xf numFmtId="4" fontId="12" fillId="24" borderId="0" xfId="0" applyNumberFormat="1" applyFont="1" applyFill="1" applyBorder="1" applyAlignment="1">
      <alignment vertical="center"/>
    </xf>
    <xf numFmtId="0" fontId="12" fillId="24" borderId="0" xfId="0" applyFont="1" applyFill="1" applyAlignment="1">
      <alignment vertical="center"/>
    </xf>
    <xf numFmtId="0" fontId="33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33" fillId="0" borderId="12" xfId="0" applyFont="1" applyFill="1" applyBorder="1" applyAlignment="1">
      <alignment horizontal="left" vertical="top" wrapText="1"/>
    </xf>
    <xf numFmtId="0" fontId="1" fillId="24" borderId="10" xfId="0" applyNumberFormat="1" applyFont="1" applyFill="1" applyBorder="1" applyAlignment="1">
      <alignment horizontal="left" vertical="top" wrapText="1"/>
    </xf>
    <xf numFmtId="4" fontId="30" fillId="0" borderId="0" xfId="0" applyNumberFormat="1" applyFont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7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justify" vertical="center" wrapText="1"/>
    </xf>
    <xf numFmtId="3" fontId="55" fillId="4" borderId="10" xfId="0" applyNumberFormat="1" applyFont="1" applyFill="1" applyBorder="1" applyAlignment="1">
      <alignment horizontal="justify" vertical="center" wrapText="1"/>
    </xf>
    <xf numFmtId="49" fontId="33" fillId="24" borderId="13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9" fillId="0" borderId="0" xfId="53" applyFont="1" applyAlignment="1">
      <alignment horizontal="right"/>
      <protection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center" wrapText="1"/>
    </xf>
    <xf numFmtId="49" fontId="88" fillId="4" borderId="0" xfId="0" applyNumberFormat="1" applyFont="1" applyFill="1" applyBorder="1" applyAlignment="1">
      <alignment horizontal="center"/>
    </xf>
    <xf numFmtId="4" fontId="88" fillId="24" borderId="0" xfId="0" applyNumberFormat="1" applyFont="1" applyFill="1" applyBorder="1" applyAlignment="1">
      <alignment horizontal="center" vertical="center"/>
    </xf>
    <xf numFmtId="4" fontId="48" fillId="4" borderId="0" xfId="0" applyNumberFormat="1" applyFont="1" applyFill="1" applyBorder="1" applyAlignment="1">
      <alignment horizontal="center" vertical="center"/>
    </xf>
    <xf numFmtId="4" fontId="8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47" fillId="0" borderId="0" xfId="0" applyFont="1" applyAlignment="1">
      <alignment/>
    </xf>
    <xf numFmtId="4" fontId="48" fillId="0" borderId="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4" fontId="71" fillId="0" borderId="0" xfId="0" applyNumberFormat="1" applyFont="1" applyAlignment="1">
      <alignment horizontal="center" vertical="center"/>
    </xf>
    <xf numFmtId="0" fontId="33" fillId="24" borderId="10" xfId="0" applyFont="1" applyFill="1" applyBorder="1" applyAlignment="1">
      <alignment horizontal="justify" vertical="top" wrapText="1"/>
    </xf>
    <xf numFmtId="4" fontId="33" fillId="24" borderId="10" xfId="0" applyNumberFormat="1" applyFont="1" applyFill="1" applyBorder="1" applyAlignment="1">
      <alignment horizontal="center" vertical="center" wrapText="1"/>
    </xf>
    <xf numFmtId="4" fontId="33" fillId="24" borderId="13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top" wrapText="1"/>
    </xf>
    <xf numFmtId="4" fontId="1" fillId="24" borderId="10" xfId="0" applyNumberFormat="1" applyFont="1" applyFill="1" applyBorder="1" applyAlignment="1">
      <alignment vertical="center"/>
    </xf>
    <xf numFmtId="4" fontId="8" fillId="24" borderId="10" xfId="0" applyNumberFormat="1" applyFont="1" applyFill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3" fontId="8" fillId="24" borderId="10" xfId="0" applyNumberFormat="1" applyFont="1" applyFill="1" applyBorder="1" applyAlignment="1">
      <alignment vertical="center"/>
    </xf>
    <xf numFmtId="4" fontId="0" fillId="24" borderId="10" xfId="0" applyNumberFormat="1" applyFill="1" applyBorder="1" applyAlignment="1">
      <alignment vertical="center"/>
    </xf>
    <xf numFmtId="4" fontId="57" fillId="24" borderId="10" xfId="0" applyNumberFormat="1" applyFont="1" applyFill="1" applyBorder="1" applyAlignment="1">
      <alignment vertical="center"/>
    </xf>
    <xf numFmtId="213" fontId="1" fillId="24" borderId="10" xfId="0" applyNumberFormat="1" applyFont="1" applyFill="1" applyBorder="1" applyAlignment="1">
      <alignment vertical="center"/>
    </xf>
    <xf numFmtId="0" fontId="23" fillId="24" borderId="0" xfId="0" applyFont="1" applyFill="1" applyAlignment="1">
      <alignment/>
    </xf>
    <xf numFmtId="0" fontId="26" fillId="24" borderId="0" xfId="0" applyFont="1" applyFill="1" applyAlignment="1">
      <alignment vertical="top" wrapText="1"/>
    </xf>
    <xf numFmtId="0" fontId="23" fillId="24" borderId="0" xfId="0" applyFont="1" applyFill="1" applyAlignment="1">
      <alignment vertical="top" wrapText="1"/>
    </xf>
    <xf numFmtId="0" fontId="23" fillId="24" borderId="0" xfId="0" applyFont="1" applyFill="1" applyAlignment="1">
      <alignment vertical="top" wrapText="1"/>
    </xf>
    <xf numFmtId="0" fontId="1" fillId="24" borderId="0" xfId="0" applyFont="1" applyFill="1" applyAlignment="1">
      <alignment/>
    </xf>
    <xf numFmtId="0" fontId="20" fillId="24" borderId="17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vertical="center"/>
    </xf>
    <xf numFmtId="4" fontId="64" fillId="24" borderId="10" xfId="0" applyNumberFormat="1" applyFont="1" applyFill="1" applyBorder="1" applyAlignment="1">
      <alignment vertical="center"/>
    </xf>
    <xf numFmtId="4" fontId="28" fillId="24" borderId="10" xfId="0" applyNumberFormat="1" applyFont="1" applyFill="1" applyBorder="1" applyAlignment="1">
      <alignment vertical="center"/>
    </xf>
    <xf numFmtId="4" fontId="28" fillId="24" borderId="17" xfId="0" applyNumberFormat="1" applyFont="1" applyFill="1" applyBorder="1" applyAlignment="1">
      <alignment vertical="center"/>
    </xf>
    <xf numFmtId="4" fontId="23" fillId="24" borderId="17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/>
    </xf>
    <xf numFmtId="4" fontId="28" fillId="24" borderId="10" xfId="0" applyNumberFormat="1" applyFon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0" fontId="29" fillId="24" borderId="0" xfId="0" applyFont="1" applyFill="1" applyAlignment="1">
      <alignment/>
    </xf>
    <xf numFmtId="0" fontId="23" fillId="24" borderId="0" xfId="0" applyFont="1" applyFill="1" applyAlignment="1">
      <alignment/>
    </xf>
    <xf numFmtId="1" fontId="50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4" fontId="23" fillId="24" borderId="0" xfId="0" applyNumberFormat="1" applyFont="1" applyFill="1" applyBorder="1" applyAlignment="1">
      <alignment/>
    </xf>
    <xf numFmtId="0" fontId="33" fillId="24" borderId="0" xfId="0" applyFont="1" applyFill="1" applyAlignment="1">
      <alignment/>
    </xf>
    <xf numFmtId="0" fontId="33" fillId="0" borderId="0" xfId="0" applyFont="1" applyAlignment="1">
      <alignment/>
    </xf>
    <xf numFmtId="0" fontId="28" fillId="0" borderId="0" xfId="0" applyFont="1" applyFill="1" applyAlignment="1">
      <alignment horizontal="center" wrapText="1"/>
    </xf>
    <xf numFmtId="0" fontId="33" fillId="0" borderId="13" xfId="0" applyFont="1" applyFill="1" applyBorder="1" applyAlignment="1">
      <alignment horizontal="left"/>
    </xf>
    <xf numFmtId="0" fontId="0" fillId="0" borderId="19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3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left"/>
    </xf>
    <xf numFmtId="0" fontId="33" fillId="0" borderId="19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left" wrapText="1"/>
    </xf>
    <xf numFmtId="0" fontId="33" fillId="0" borderId="19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24" borderId="0" xfId="0" applyFont="1" applyFill="1" applyAlignment="1">
      <alignment horizontal="left"/>
    </xf>
    <xf numFmtId="0" fontId="0" fillId="24" borderId="0" xfId="0" applyFill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4" fillId="24" borderId="12" xfId="0" applyFont="1" applyFill="1" applyBorder="1" applyAlignment="1">
      <alignment horizontal="left" vertical="top" wrapText="1"/>
    </xf>
    <xf numFmtId="0" fontId="34" fillId="24" borderId="20" xfId="0" applyFont="1" applyFill="1" applyBorder="1" applyAlignment="1">
      <alignment horizontal="left" vertical="top" wrapText="1"/>
    </xf>
    <xf numFmtId="0" fontId="34" fillId="24" borderId="14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3" fontId="52" fillId="0" borderId="18" xfId="0" applyNumberFormat="1" applyFont="1" applyFill="1" applyBorder="1" applyAlignment="1">
      <alignment horizontal="center" vertical="center" wrapText="1"/>
    </xf>
    <xf numFmtId="3" fontId="52" fillId="0" borderId="21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54" fillId="0" borderId="17" xfId="0" applyNumberFormat="1" applyFont="1" applyFill="1" applyBorder="1" applyAlignment="1">
      <alignment horizontal="center" vertical="center" wrapText="1"/>
    </xf>
    <xf numFmtId="4" fontId="54" fillId="0" borderId="19" xfId="0" applyNumberFormat="1" applyFont="1" applyFill="1" applyBorder="1" applyAlignment="1">
      <alignment horizontal="center" vertical="center" wrapText="1"/>
    </xf>
    <xf numFmtId="4" fontId="54" fillId="0" borderId="13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right"/>
    </xf>
    <xf numFmtId="3" fontId="54" fillId="0" borderId="10" xfId="0" applyNumberFormat="1" applyFont="1" applyFill="1" applyBorder="1" applyAlignment="1">
      <alignment horizontal="center" vertical="center" wrapText="1"/>
    </xf>
    <xf numFmtId="3" fontId="52" fillId="0" borderId="12" xfId="0" applyNumberFormat="1" applyFont="1" applyFill="1" applyBorder="1" applyAlignment="1">
      <alignment horizontal="center" vertical="center" wrapText="1"/>
    </xf>
    <xf numFmtId="3" fontId="52" fillId="0" borderId="20" xfId="0" applyNumberFormat="1" applyFont="1" applyFill="1" applyBorder="1" applyAlignment="1">
      <alignment horizontal="center" vertical="center" wrapText="1"/>
    </xf>
    <xf numFmtId="3" fontId="52" fillId="0" borderId="14" xfId="0" applyNumberFormat="1" applyFont="1" applyFill="1" applyBorder="1" applyAlignment="1">
      <alignment horizontal="center" vertical="center" wrapText="1"/>
    </xf>
    <xf numFmtId="3" fontId="52" fillId="0" borderId="17" xfId="0" applyNumberFormat="1" applyFont="1" applyFill="1" applyBorder="1" applyAlignment="1">
      <alignment horizontal="center" vertical="center" wrapText="1"/>
    </xf>
    <xf numFmtId="3" fontId="52" fillId="0" borderId="19" xfId="0" applyNumberFormat="1" applyFont="1" applyFill="1" applyBorder="1" applyAlignment="1">
      <alignment horizontal="center" vertical="center" wrapText="1"/>
    </xf>
    <xf numFmtId="3" fontId="52" fillId="0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3" fontId="20" fillId="0" borderId="17" xfId="0" applyNumberFormat="1" applyFont="1" applyFill="1" applyBorder="1" applyAlignment="1">
      <alignment horizontal="center" vertical="top" wrapText="1"/>
    </xf>
    <xf numFmtId="3" fontId="20" fillId="0" borderId="19" xfId="0" applyNumberFormat="1" applyFont="1" applyFill="1" applyBorder="1" applyAlignment="1">
      <alignment horizontal="center" vertical="top" wrapText="1"/>
    </xf>
    <xf numFmtId="3" fontId="20" fillId="0" borderId="13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24" borderId="17" xfId="0" applyFont="1" applyFill="1" applyBorder="1" applyAlignment="1">
      <alignment horizontal="center" vertical="top" wrapText="1"/>
    </xf>
    <xf numFmtId="0" fontId="20" fillId="24" borderId="19" xfId="0" applyFont="1" applyFill="1" applyBorder="1" applyAlignment="1">
      <alignment horizontal="center" vertical="top" wrapText="1"/>
    </xf>
    <xf numFmtId="0" fontId="20" fillId="24" borderId="13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top" wrapText="1"/>
    </xf>
    <xf numFmtId="0" fontId="20" fillId="24" borderId="23" xfId="0" applyFont="1" applyFill="1" applyBorder="1" applyAlignment="1">
      <alignment horizontal="center" vertical="top" wrapText="1"/>
    </xf>
    <xf numFmtId="0" fontId="20" fillId="24" borderId="2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61" fillId="0" borderId="0" xfId="0" applyFont="1" applyBorder="1" applyAlignment="1">
      <alignment horizontal="right"/>
    </xf>
    <xf numFmtId="0" fontId="61" fillId="0" borderId="0" xfId="0" applyFont="1" applyAlignment="1">
      <alignment horizontal="right"/>
    </xf>
    <xf numFmtId="3" fontId="20" fillId="4" borderId="10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" fontId="20" fillId="4" borderId="10" xfId="0" applyNumberFormat="1" applyFont="1" applyFill="1" applyBorder="1" applyAlignment="1">
      <alignment horizontal="center" vertical="center" wrapText="1"/>
    </xf>
    <xf numFmtId="196" fontId="33" fillId="0" borderId="17" xfId="0" applyNumberFormat="1" applyFont="1" applyBorder="1" applyAlignment="1">
      <alignment horizontal="center" vertical="center" wrapText="1"/>
    </xf>
    <xf numFmtId="196" fontId="33" fillId="0" borderId="19" xfId="0" applyNumberFormat="1" applyFont="1" applyBorder="1" applyAlignment="1">
      <alignment horizontal="center" vertical="center" wrapText="1"/>
    </xf>
    <xf numFmtId="196" fontId="33" fillId="0" borderId="13" xfId="0" applyNumberFormat="1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3" fillId="0" borderId="0" xfId="0" applyNumberFormat="1" applyFont="1" applyAlignment="1">
      <alignment horizontal="left" wrapText="1"/>
    </xf>
    <xf numFmtId="0" fontId="26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NumberFormat="1" applyFont="1" applyFill="1" applyAlignment="1">
      <alignment horizontal="center" wrapText="1"/>
    </xf>
    <xf numFmtId="0" fontId="26" fillId="0" borderId="0" xfId="0" applyFont="1" applyFill="1" applyAlignment="1">
      <alignment horizontal="center" vertical="top" wrapText="1"/>
    </xf>
    <xf numFmtId="0" fontId="28" fillId="0" borderId="0" xfId="0" applyFont="1" applyAlignment="1">
      <alignment horizontal="left" vertical="center" wrapText="1"/>
    </xf>
    <xf numFmtId="0" fontId="23" fillId="0" borderId="0" xfId="0" applyNumberFormat="1" applyFont="1" applyFill="1" applyAlignment="1">
      <alignment horizontal="left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3" fontId="20" fillId="0" borderId="12" xfId="0" applyNumberFormat="1" applyFont="1" applyFill="1" applyBorder="1" applyAlignment="1">
      <alignment horizontal="center" vertical="top" wrapText="1"/>
    </xf>
    <xf numFmtId="3" fontId="20" fillId="0" borderId="20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3" fontId="55" fillId="4" borderId="10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wrapText="1"/>
    </xf>
    <xf numFmtId="3" fontId="20" fillId="0" borderId="20" xfId="0" applyNumberFormat="1" applyFont="1" applyFill="1" applyBorder="1" applyAlignment="1">
      <alignment horizontal="center" wrapText="1"/>
    </xf>
    <xf numFmtId="3" fontId="20" fillId="20" borderId="10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20" fillId="0" borderId="10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96" fontId="33" fillId="0" borderId="19" xfId="0" applyNumberFormat="1" applyFont="1" applyFill="1" applyBorder="1" applyAlignment="1">
      <alignment horizontal="left" wrapText="1"/>
    </xf>
    <xf numFmtId="196" fontId="33" fillId="0" borderId="13" xfId="0" applyNumberFormat="1" applyFont="1" applyFill="1" applyBorder="1" applyAlignment="1">
      <alignment horizontal="left" wrapText="1"/>
    </xf>
    <xf numFmtId="196" fontId="33" fillId="0" borderId="17" xfId="0" applyNumberFormat="1" applyFont="1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196" fontId="33" fillId="0" borderId="17" xfId="0" applyNumberFormat="1" applyFont="1" applyFill="1" applyBorder="1" applyAlignment="1">
      <alignment horizontal="left"/>
    </xf>
    <xf numFmtId="196" fontId="33" fillId="0" borderId="19" xfId="0" applyNumberFormat="1" applyFont="1" applyFill="1" applyBorder="1" applyAlignment="1">
      <alignment horizontal="left"/>
    </xf>
    <xf numFmtId="196" fontId="33" fillId="0" borderId="13" xfId="0" applyNumberFormat="1" applyFont="1" applyFill="1" applyBorder="1" applyAlignment="1">
      <alignment horizontal="left"/>
    </xf>
    <xf numFmtId="196" fontId="37" fillId="0" borderId="17" xfId="0" applyNumberFormat="1" applyFont="1" applyFill="1" applyBorder="1" applyAlignment="1">
      <alignment horizontal="left" wrapText="1"/>
    </xf>
    <xf numFmtId="196" fontId="37" fillId="0" borderId="19" xfId="0" applyNumberFormat="1" applyFont="1" applyFill="1" applyBorder="1" applyAlignment="1">
      <alignment horizontal="left" wrapText="1"/>
    </xf>
    <xf numFmtId="196" fontId="37" fillId="0" borderId="13" xfId="0" applyNumberFormat="1" applyFont="1" applyFill="1" applyBorder="1" applyAlignment="1">
      <alignment horizontal="left" wrapText="1"/>
    </xf>
    <xf numFmtId="0" fontId="33" fillId="0" borderId="0" xfId="0" applyFont="1" applyFill="1" applyAlignment="1">
      <alignment/>
    </xf>
    <xf numFmtId="0" fontId="33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 vertical="center"/>
    </xf>
    <xf numFmtId="3" fontId="33" fillId="0" borderId="17" xfId="0" applyNumberFormat="1" applyFont="1" applyFill="1" applyBorder="1" applyAlignment="1">
      <alignment horizontal="center" vertical="center" wrapText="1"/>
    </xf>
    <xf numFmtId="3" fontId="33" fillId="0" borderId="13" xfId="0" applyNumberFormat="1" applyFont="1" applyFill="1" applyBorder="1" applyAlignment="1">
      <alignment horizontal="center" vertical="center" wrapText="1"/>
    </xf>
    <xf numFmtId="49" fontId="33" fillId="24" borderId="17" xfId="0" applyNumberFormat="1" applyFont="1" applyFill="1" applyBorder="1" applyAlignment="1">
      <alignment horizontal="center" vertical="center"/>
    </xf>
    <xf numFmtId="49" fontId="33" fillId="24" borderId="19" xfId="0" applyNumberFormat="1" applyFont="1" applyFill="1" applyBorder="1" applyAlignment="1">
      <alignment horizontal="center" vertical="center"/>
    </xf>
    <xf numFmtId="49" fontId="33" fillId="24" borderId="13" xfId="0" applyNumberFormat="1" applyFont="1" applyFill="1" applyBorder="1" applyAlignment="1">
      <alignment horizontal="center" vertical="center"/>
    </xf>
    <xf numFmtId="3" fontId="33" fillId="24" borderId="17" xfId="0" applyNumberFormat="1" applyFont="1" applyFill="1" applyBorder="1" applyAlignment="1">
      <alignment horizontal="center" vertical="center" wrapText="1"/>
    </xf>
    <xf numFmtId="3" fontId="33" fillId="24" borderId="19" xfId="0" applyNumberFormat="1" applyFont="1" applyFill="1" applyBorder="1" applyAlignment="1">
      <alignment horizontal="center" vertical="center" wrapText="1"/>
    </xf>
    <xf numFmtId="3" fontId="33" fillId="24" borderId="13" xfId="0" applyNumberFormat="1" applyFont="1" applyFill="1" applyBorder="1" applyAlignment="1">
      <alignment horizontal="center" vertical="center" wrapText="1"/>
    </xf>
    <xf numFmtId="49" fontId="33" fillId="0" borderId="17" xfId="0" applyNumberFormat="1" applyFont="1" applyFill="1" applyBorder="1" applyAlignment="1">
      <alignment horizontal="center" vertical="center"/>
    </xf>
    <xf numFmtId="49" fontId="33" fillId="0" borderId="19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23" fillId="0" borderId="11" xfId="0" applyNumberFormat="1" applyFont="1" applyBorder="1" applyAlignment="1">
      <alignment horizontal="center" vertical="center"/>
    </xf>
    <xf numFmtId="3" fontId="33" fillId="0" borderId="17" xfId="0" applyNumberFormat="1" applyFont="1" applyFill="1" applyBorder="1" applyAlignment="1">
      <alignment horizontal="justify" vertical="center" wrapText="1"/>
    </xf>
    <xf numFmtId="3" fontId="33" fillId="0" borderId="19" xfId="0" applyNumberFormat="1" applyFont="1" applyFill="1" applyBorder="1" applyAlignment="1">
      <alignment horizontal="justify" vertical="center" wrapText="1"/>
    </xf>
    <xf numFmtId="3" fontId="33" fillId="0" borderId="13" xfId="0" applyNumberFormat="1" applyFont="1" applyFill="1" applyBorder="1" applyAlignment="1">
      <alignment horizontal="justify" vertical="center" wrapText="1"/>
    </xf>
    <xf numFmtId="0" fontId="33" fillId="0" borderId="19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7" xfId="0" applyNumberFormat="1" applyFont="1" applyFill="1" applyBorder="1" applyAlignment="1">
      <alignment horizontal="center" vertical="center"/>
    </xf>
    <xf numFmtId="0" fontId="33" fillId="0" borderId="19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30" fillId="0" borderId="0" xfId="0" applyFont="1" applyBorder="1" applyAlignment="1">
      <alignment horizontal="center"/>
    </xf>
    <xf numFmtId="0" fontId="33" fillId="17" borderId="0" xfId="0" applyFont="1" applyFill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46" fillId="24" borderId="0" xfId="0" applyFont="1" applyFill="1" applyAlignment="1">
      <alignment horizontal="center" vertical="center" wrapText="1"/>
    </xf>
    <xf numFmtId="0" fontId="55" fillId="24" borderId="17" xfId="0" applyFont="1" applyFill="1" applyBorder="1" applyAlignment="1">
      <alignment horizontal="center" vertical="center" wrapText="1"/>
    </xf>
    <xf numFmtId="0" fontId="55" fillId="24" borderId="19" xfId="0" applyFont="1" applyFill="1" applyBorder="1" applyAlignment="1">
      <alignment horizontal="center" vertical="center" wrapText="1"/>
    </xf>
    <xf numFmtId="0" fontId="55" fillId="24" borderId="13" xfId="0" applyFont="1" applyFill="1" applyBorder="1" applyAlignment="1">
      <alignment horizontal="center" vertical="center" wrapText="1"/>
    </xf>
    <xf numFmtId="0" fontId="67" fillId="0" borderId="19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23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23" fillId="24" borderId="0" xfId="0" applyFont="1" applyFill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23" fillId="24" borderId="0" xfId="0" applyFont="1" applyFill="1" applyAlignment="1">
      <alignment horizontal="left" vertical="top" wrapText="1"/>
    </xf>
    <xf numFmtId="0" fontId="4" fillId="24" borderId="0" xfId="0" applyFont="1" applyFill="1" applyBorder="1" applyAlignment="1">
      <alignment horizontal="right" vertical="center" wrapText="1"/>
    </xf>
    <xf numFmtId="0" fontId="39" fillId="24" borderId="0" xfId="0" applyFont="1" applyFill="1" applyBorder="1" applyAlignment="1">
      <alignment horizontal="right" vertical="center" wrapText="1"/>
    </xf>
    <xf numFmtId="0" fontId="55" fillId="24" borderId="18" xfId="0" applyFont="1" applyFill="1" applyBorder="1" applyAlignment="1">
      <alignment horizontal="center" vertical="center" wrapText="1"/>
    </xf>
    <xf numFmtId="0" fontId="55" fillId="24" borderId="21" xfId="0" applyFont="1" applyFill="1" applyBorder="1" applyAlignment="1">
      <alignment horizontal="center" vertical="center" wrapText="1"/>
    </xf>
    <xf numFmtId="0" fontId="55" fillId="24" borderId="16" xfId="0" applyFont="1" applyFill="1" applyBorder="1" applyAlignment="1">
      <alignment horizontal="center" vertical="center" wrapText="1"/>
    </xf>
    <xf numFmtId="0" fontId="55" fillId="24" borderId="15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3" fontId="33" fillId="0" borderId="19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4" fontId="50" fillId="0" borderId="0" xfId="0" applyNumberFormat="1" applyFont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4" fontId="50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4" fontId="71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4" fontId="48" fillId="0" borderId="11" xfId="0" applyNumberFormat="1" applyFont="1" applyFill="1" applyBorder="1" applyAlignment="1">
      <alignment horizontal="center" vertical="center"/>
    </xf>
    <xf numFmtId="4" fontId="71" fillId="0" borderId="0" xfId="0" applyNumberFormat="1" applyFont="1" applyAlignment="1">
      <alignment horizontal="center" vertical="center"/>
    </xf>
    <xf numFmtId="4" fontId="48" fillId="0" borderId="11" xfId="0" applyNumberFormat="1" applyFont="1" applyBorder="1" applyAlignment="1">
      <alignment horizontal="center" vertical="center"/>
    </xf>
    <xf numFmtId="170" fontId="33" fillId="0" borderId="17" xfId="43" applyFont="1" applyFill="1" applyBorder="1" applyAlignment="1">
      <alignment horizontal="center" vertical="center" wrapText="1"/>
    </xf>
    <xf numFmtId="170" fontId="33" fillId="0" borderId="13" xfId="43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33" fillId="0" borderId="17" xfId="0" applyNumberFormat="1" applyFont="1" applyFill="1" applyBorder="1" applyAlignment="1">
      <alignment horizontal="center" vertical="top" wrapText="1"/>
    </xf>
    <xf numFmtId="49" fontId="33" fillId="0" borderId="13" xfId="0" applyNumberFormat="1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4" fontId="71" fillId="0" borderId="10" xfId="0" applyNumberFormat="1" applyFont="1" applyFill="1" applyBorder="1" applyAlignment="1">
      <alignment horizontal="center"/>
    </xf>
    <xf numFmtId="0" fontId="33" fillId="0" borderId="17" xfId="0" applyFont="1" applyFill="1" applyBorder="1" applyAlignment="1">
      <alignment horizontal="justify" wrapText="1"/>
    </xf>
    <xf numFmtId="0" fontId="33" fillId="0" borderId="19" xfId="0" applyFont="1" applyFill="1" applyBorder="1" applyAlignment="1">
      <alignment horizontal="justify" wrapText="1"/>
    </xf>
    <xf numFmtId="0" fontId="33" fillId="0" borderId="13" xfId="0" applyFont="1" applyFill="1" applyBorder="1" applyAlignment="1">
      <alignment horizontal="justify" wrapText="1"/>
    </xf>
    <xf numFmtId="0" fontId="33" fillId="0" borderId="10" xfId="0" applyFont="1" applyFill="1" applyBorder="1" applyAlignment="1">
      <alignment horizontal="justify" vertical="top" wrapText="1"/>
    </xf>
    <xf numFmtId="4" fontId="33" fillId="0" borderId="10" xfId="0" applyNumberFormat="1" applyFont="1" applyFill="1" applyBorder="1" applyAlignment="1">
      <alignment horizontal="center" wrapText="1"/>
    </xf>
    <xf numFmtId="4" fontId="33" fillId="0" borderId="10" xfId="0" applyNumberFormat="1" applyFont="1" applyFill="1" applyBorder="1" applyAlignment="1">
      <alignment horizontal="center"/>
    </xf>
    <xf numFmtId="0" fontId="33" fillId="0" borderId="14" xfId="0" applyFont="1" applyFill="1" applyBorder="1" applyAlignment="1">
      <alignment horizontal="justify" vertical="top" wrapText="1"/>
    </xf>
    <xf numFmtId="4" fontId="33" fillId="0" borderId="10" xfId="54" applyNumberFormat="1" applyFont="1" applyFill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атки_2015_вересень" xfId="53"/>
    <cellStyle name="Обычный_Сеся15.08.08" xfId="54"/>
    <cellStyle name="Обычный_Сеся15.08.08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dxfs count="6"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7-7\&#1056;&#1110;&#1096;&#1077;&#1085;&#1085;&#1103;_&#1079;&#1084;&#1110;&#1085;&#1080;%202018_%2017-7%20&#8470;5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1"/>
      <sheetName val="Дод.1.1"/>
      <sheetName val="Дод.1.2"/>
      <sheetName val="Дод.2"/>
      <sheetName val="Дод.3"/>
      <sheetName val="Дод.4"/>
      <sheetName val="Дод.4.1"/>
      <sheetName val="дод.5"/>
      <sheetName val="дод 6.1"/>
      <sheetName val="дод 7"/>
      <sheetName val="дод 8"/>
    </sheetNames>
    <sheetDataSet>
      <sheetData sheetId="7">
        <row r="12">
          <cell r="I12">
            <v>283003</v>
          </cell>
        </row>
        <row r="13">
          <cell r="I13">
            <v>522931</v>
          </cell>
        </row>
        <row r="16">
          <cell r="I16">
            <v>75000</v>
          </cell>
        </row>
        <row r="20">
          <cell r="I20">
            <v>197160</v>
          </cell>
        </row>
        <row r="22">
          <cell r="I22">
            <v>461282</v>
          </cell>
        </row>
        <row r="23">
          <cell r="I23">
            <v>368000</v>
          </cell>
        </row>
        <row r="30">
          <cell r="I30">
            <v>169150</v>
          </cell>
        </row>
        <row r="31">
          <cell r="G31">
            <v>51000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170"/>
  <sheetViews>
    <sheetView showZeros="0" view="pageBreakPreview" zoomScale="75" zoomScaleNormal="85" zoomScaleSheetLayoutView="75" zoomScalePageLayoutView="0" workbookViewId="0" topLeftCell="A1">
      <pane xSplit="2" ySplit="9" topLeftCell="C99" activePane="bottomRight" state="frozen"/>
      <selection pane="topLeft" activeCell="B114" sqref="B114"/>
      <selection pane="topRight" activeCell="B114" sqref="B114"/>
      <selection pane="bottomLeft" activeCell="B114" sqref="B114"/>
      <selection pane="bottomRight" activeCell="A1" sqref="A1:F122"/>
    </sheetView>
  </sheetViews>
  <sheetFormatPr defaultColWidth="9.00390625" defaultRowHeight="12.75"/>
  <cols>
    <col min="1" max="1" width="12.00390625" style="3" customWidth="1"/>
    <col min="2" max="2" width="55.125" style="3" customWidth="1"/>
    <col min="3" max="3" width="16.375" style="3" customWidth="1"/>
    <col min="4" max="4" width="16.75390625" style="3" customWidth="1"/>
    <col min="5" max="5" width="15.125" style="3" customWidth="1"/>
    <col min="6" max="6" width="17.375" style="3" customWidth="1"/>
    <col min="7" max="7" width="9.25390625" style="3" bestFit="1" customWidth="1"/>
    <col min="8" max="8" width="15.375" style="3" customWidth="1"/>
    <col min="9" max="9" width="10.125" style="3" customWidth="1"/>
    <col min="10" max="10" width="12.00390625" style="3" customWidth="1"/>
    <col min="11" max="11" width="15.25390625" style="3" customWidth="1"/>
    <col min="12" max="12" width="13.375" style="3" customWidth="1"/>
    <col min="13" max="13" width="10.125" style="3" customWidth="1"/>
    <col min="14" max="14" width="16.75390625" style="3" customWidth="1"/>
    <col min="15" max="19" width="10.125" style="3" customWidth="1"/>
    <col min="20" max="20" width="9.125" style="3" customWidth="1"/>
    <col min="21" max="22" width="12.875" style="3" bestFit="1" customWidth="1"/>
    <col min="23" max="16384" width="9.125" style="3" customWidth="1"/>
  </cols>
  <sheetData>
    <row r="1" spans="4:6" ht="15.75">
      <c r="D1" s="797" t="s">
        <v>84</v>
      </c>
      <c r="E1" s="798"/>
      <c r="F1" s="798"/>
    </row>
    <row r="2" spans="4:6" ht="16.5" customHeight="1">
      <c r="D2" s="799" t="s">
        <v>914</v>
      </c>
      <c r="E2" s="798"/>
      <c r="F2" s="798"/>
    </row>
    <row r="3" spans="4:8" ht="15.75">
      <c r="D3" s="800" t="s">
        <v>66</v>
      </c>
      <c r="E3" s="801"/>
      <c r="F3" s="801"/>
      <c r="H3" s="47"/>
    </row>
    <row r="4" spans="4:8" ht="15.75">
      <c r="D4" s="2"/>
      <c r="E4" s="1"/>
      <c r="F4" s="1"/>
      <c r="H4" s="47"/>
    </row>
    <row r="5" spans="1:6" ht="18.75">
      <c r="A5" s="805" t="s">
        <v>979</v>
      </c>
      <c r="B5" s="805"/>
      <c r="C5" s="805"/>
      <c r="D5" s="805"/>
      <c r="E5" s="805"/>
      <c r="F5" s="805"/>
    </row>
    <row r="6" ht="15.75">
      <c r="F6" s="4" t="s">
        <v>85</v>
      </c>
    </row>
    <row r="7" spans="1:19" s="10" customFormat="1" ht="16.5">
      <c r="A7" s="791" t="s">
        <v>32</v>
      </c>
      <c r="B7" s="791" t="s">
        <v>950</v>
      </c>
      <c r="C7" s="791" t="s">
        <v>978</v>
      </c>
      <c r="D7" s="791" t="s">
        <v>573</v>
      </c>
      <c r="E7" s="793" t="s">
        <v>802</v>
      </c>
      <c r="F7" s="794"/>
      <c r="H7" s="802" t="s">
        <v>326</v>
      </c>
      <c r="I7" s="803"/>
      <c r="J7" s="803"/>
      <c r="K7" s="803"/>
      <c r="L7" s="803"/>
      <c r="M7" s="803"/>
      <c r="N7" s="803"/>
      <c r="O7" s="803"/>
      <c r="P7" s="803"/>
      <c r="Q7" s="803"/>
      <c r="R7" s="803"/>
      <c r="S7" s="804"/>
    </row>
    <row r="8" spans="1:19" s="10" customFormat="1" ht="47.25">
      <c r="A8" s="792"/>
      <c r="B8" s="792"/>
      <c r="C8" s="792"/>
      <c r="D8" s="792"/>
      <c r="E8" s="134" t="s">
        <v>978</v>
      </c>
      <c r="F8" s="134" t="s">
        <v>977</v>
      </c>
      <c r="H8" s="9" t="s">
        <v>342</v>
      </c>
      <c r="I8" s="39" t="s">
        <v>136</v>
      </c>
      <c r="J8" s="39" t="s">
        <v>54</v>
      </c>
      <c r="K8" s="39" t="s">
        <v>629</v>
      </c>
      <c r="L8" s="39"/>
      <c r="M8" s="39"/>
      <c r="N8" s="39"/>
      <c r="O8" s="39"/>
      <c r="P8" s="9"/>
      <c r="Q8" s="9"/>
      <c r="R8" s="9"/>
      <c r="S8" s="9"/>
    </row>
    <row r="9" spans="1:19" s="5" customFormat="1" ht="16.5">
      <c r="A9" s="9">
        <v>1</v>
      </c>
      <c r="B9" s="9">
        <f>A9+1</f>
        <v>2</v>
      </c>
      <c r="C9" s="9"/>
      <c r="D9" s="9">
        <f>B9+1</f>
        <v>3</v>
      </c>
      <c r="E9" s="9">
        <f>D9+1</f>
        <v>4</v>
      </c>
      <c r="F9" s="9">
        <f>E9+1</f>
        <v>5</v>
      </c>
      <c r="H9" s="9" t="s">
        <v>86</v>
      </c>
      <c r="I9" s="9" t="s">
        <v>86</v>
      </c>
      <c r="J9" s="9" t="s">
        <v>86</v>
      </c>
      <c r="K9" s="9" t="s">
        <v>86</v>
      </c>
      <c r="L9" s="9" t="s">
        <v>86</v>
      </c>
      <c r="M9" s="9" t="s">
        <v>86</v>
      </c>
      <c r="N9" s="9" t="s">
        <v>86</v>
      </c>
      <c r="O9" s="9" t="s">
        <v>86</v>
      </c>
      <c r="P9" s="9" t="s">
        <v>86</v>
      </c>
      <c r="Q9" s="9" t="s">
        <v>86</v>
      </c>
      <c r="R9" s="9" t="s">
        <v>86</v>
      </c>
      <c r="S9" s="9" t="s">
        <v>86</v>
      </c>
    </row>
    <row r="10" spans="1:19" s="13" customFormat="1" ht="27" customHeight="1">
      <c r="A10" s="334" t="s">
        <v>83</v>
      </c>
      <c r="B10" s="335" t="s">
        <v>87</v>
      </c>
      <c r="C10" s="312">
        <f>D10+E10</f>
        <v>92612751</v>
      </c>
      <c r="D10" s="313">
        <f aca="true" t="shared" si="0" ref="D10:D42">SUM(H10:S10)</f>
        <v>92612751</v>
      </c>
      <c r="E10" s="313">
        <f>E11+E28+E38</f>
        <v>0</v>
      </c>
      <c r="F10" s="313">
        <f>F11+F28+F38</f>
        <v>0</v>
      </c>
      <c r="H10" s="12">
        <f>H11+H28+H38</f>
        <v>85270400</v>
      </c>
      <c r="I10" s="12">
        <f aca="true" t="shared" si="1" ref="I10:S10">I11+I28+I38</f>
        <v>0</v>
      </c>
      <c r="J10" s="46">
        <f>J11+J28+J38</f>
        <v>3620763</v>
      </c>
      <c r="K10" s="12">
        <f t="shared" si="1"/>
        <v>3721588</v>
      </c>
      <c r="L10" s="12">
        <f t="shared" si="1"/>
        <v>0</v>
      </c>
      <c r="M10" s="12">
        <f t="shared" si="1"/>
        <v>0</v>
      </c>
      <c r="N10" s="12">
        <f t="shared" si="1"/>
        <v>0</v>
      </c>
      <c r="O10" s="12">
        <f t="shared" si="1"/>
        <v>0</v>
      </c>
      <c r="P10" s="12">
        <f t="shared" si="1"/>
        <v>0</v>
      </c>
      <c r="Q10" s="12">
        <f t="shared" si="1"/>
        <v>0</v>
      </c>
      <c r="R10" s="12">
        <f t="shared" si="1"/>
        <v>0</v>
      </c>
      <c r="S10" s="12">
        <f t="shared" si="1"/>
        <v>0</v>
      </c>
    </row>
    <row r="11" spans="1:19" s="13" customFormat="1" ht="41.25" customHeight="1">
      <c r="A11" s="334" t="s">
        <v>853</v>
      </c>
      <c r="B11" s="335" t="s">
        <v>830</v>
      </c>
      <c r="C11" s="312">
        <f>D11+E11</f>
        <v>92242751</v>
      </c>
      <c r="D11" s="313">
        <f t="shared" si="0"/>
        <v>92242751</v>
      </c>
      <c r="E11" s="313">
        <f>E12+E25</f>
        <v>0</v>
      </c>
      <c r="F11" s="313">
        <f>F12+F25</f>
        <v>0</v>
      </c>
      <c r="H11" s="12">
        <f>H12+H25</f>
        <v>85270400</v>
      </c>
      <c r="I11" s="12">
        <f aca="true" t="shared" si="2" ref="I11:S11">I12+I25</f>
        <v>0</v>
      </c>
      <c r="J11" s="46">
        <f>J12+J25</f>
        <v>3250763</v>
      </c>
      <c r="K11" s="12">
        <f t="shared" si="2"/>
        <v>3721588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2">
        <f t="shared" si="2"/>
        <v>0</v>
      </c>
      <c r="R11" s="12">
        <f t="shared" si="2"/>
        <v>0</v>
      </c>
      <c r="S11" s="12">
        <f t="shared" si="2"/>
        <v>0</v>
      </c>
    </row>
    <row r="12" spans="1:19" s="15" customFormat="1" ht="25.5" customHeight="1">
      <c r="A12" s="336" t="s">
        <v>855</v>
      </c>
      <c r="B12" s="333" t="s">
        <v>309</v>
      </c>
      <c r="C12" s="239">
        <f>D12+E12</f>
        <v>92231251</v>
      </c>
      <c r="D12" s="316">
        <f t="shared" si="0"/>
        <v>92231251</v>
      </c>
      <c r="E12" s="316">
        <f>SUM(E13:E20)</f>
        <v>0</v>
      </c>
      <c r="F12" s="316">
        <f>SUM(F13:F20)</f>
        <v>0</v>
      </c>
      <c r="H12" s="14">
        <f>SUM(H13:H24)</f>
        <v>85258900</v>
      </c>
      <c r="I12" s="14">
        <f aca="true" t="shared" si="3" ref="I12:S12">SUM(I13:I24)</f>
        <v>0</v>
      </c>
      <c r="J12" s="50">
        <f>SUM(J13:J24)</f>
        <v>3250763</v>
      </c>
      <c r="K12" s="14">
        <f t="shared" si="3"/>
        <v>3721588</v>
      </c>
      <c r="L12" s="14">
        <f t="shared" si="3"/>
        <v>0</v>
      </c>
      <c r="M12" s="14">
        <f t="shared" si="3"/>
        <v>0</v>
      </c>
      <c r="N12" s="14">
        <f t="shared" si="3"/>
        <v>0</v>
      </c>
      <c r="O12" s="14">
        <f t="shared" si="3"/>
        <v>0</v>
      </c>
      <c r="P12" s="14">
        <f t="shared" si="3"/>
        <v>0</v>
      </c>
      <c r="Q12" s="14">
        <f t="shared" si="3"/>
        <v>0</v>
      </c>
      <c r="R12" s="14">
        <f t="shared" si="3"/>
        <v>0</v>
      </c>
      <c r="S12" s="14">
        <f t="shared" si="3"/>
        <v>0</v>
      </c>
    </row>
    <row r="13" spans="1:19" s="17" customFormat="1" ht="53.25" customHeight="1">
      <c r="A13" s="337">
        <v>11010100</v>
      </c>
      <c r="B13" s="338" t="s">
        <v>614</v>
      </c>
      <c r="C13" s="318">
        <f>D13+E13</f>
        <v>58953800</v>
      </c>
      <c r="D13" s="316">
        <f>SUM(H13:S13)</f>
        <v>58953800</v>
      </c>
      <c r="E13" s="316"/>
      <c r="F13" s="316"/>
      <c r="H13" s="16">
        <v>58863800</v>
      </c>
      <c r="I13" s="16"/>
      <c r="J13" s="80">
        <v>90000</v>
      </c>
      <c r="K13" s="80"/>
      <c r="L13" s="80"/>
      <c r="M13" s="16"/>
      <c r="N13" s="80"/>
      <c r="O13" s="16"/>
      <c r="P13" s="16"/>
      <c r="Q13" s="16"/>
      <c r="R13" s="16"/>
      <c r="S13" s="16"/>
    </row>
    <row r="14" spans="1:19" s="17" customFormat="1" ht="84" customHeight="1">
      <c r="A14" s="337">
        <v>11010200</v>
      </c>
      <c r="B14" s="338" t="s">
        <v>278</v>
      </c>
      <c r="C14" s="318">
        <f>D14+E14</f>
        <v>29549651</v>
      </c>
      <c r="D14" s="316">
        <f t="shared" si="0"/>
        <v>29549651</v>
      </c>
      <c r="E14" s="316"/>
      <c r="F14" s="316"/>
      <c r="H14" s="16">
        <v>23067300</v>
      </c>
      <c r="I14" s="16"/>
      <c r="J14" s="80">
        <v>2760763</v>
      </c>
      <c r="K14" s="80">
        <f>2515000+1206588</f>
        <v>3721588</v>
      </c>
      <c r="L14" s="80"/>
      <c r="M14" s="16"/>
      <c r="N14" s="80"/>
      <c r="O14" s="16"/>
      <c r="P14" s="16"/>
      <c r="Q14" s="16"/>
      <c r="R14" s="16"/>
      <c r="S14" s="16"/>
    </row>
    <row r="15" spans="1:19" s="17" customFormat="1" ht="17.25" customHeight="1" hidden="1">
      <c r="A15" s="337">
        <v>11010300</v>
      </c>
      <c r="B15" s="338" t="s">
        <v>1046</v>
      </c>
      <c r="C15" s="317"/>
      <c r="D15" s="320">
        <f t="shared" si="0"/>
        <v>0</v>
      </c>
      <c r="E15" s="320"/>
      <c r="F15" s="320"/>
      <c r="H15" s="16">
        <v>0</v>
      </c>
      <c r="I15" s="16"/>
      <c r="J15" s="80"/>
      <c r="K15" s="80"/>
      <c r="L15" s="80"/>
      <c r="M15" s="16"/>
      <c r="N15" s="80"/>
      <c r="O15" s="16"/>
      <c r="P15" s="16"/>
      <c r="Q15" s="16"/>
      <c r="R15" s="16"/>
      <c r="S15" s="16"/>
    </row>
    <row r="16" spans="1:19" s="17" customFormat="1" ht="54" customHeight="1">
      <c r="A16" s="337" t="s">
        <v>297</v>
      </c>
      <c r="B16" s="338" t="s">
        <v>298</v>
      </c>
      <c r="C16" s="318">
        <f>D16+E16</f>
        <v>3450000</v>
      </c>
      <c r="D16" s="316">
        <f t="shared" si="0"/>
        <v>3450000</v>
      </c>
      <c r="E16" s="316"/>
      <c r="F16" s="316"/>
      <c r="H16" s="16">
        <v>3200000</v>
      </c>
      <c r="I16" s="16"/>
      <c r="J16" s="80">
        <v>250000</v>
      </c>
      <c r="K16" s="80"/>
      <c r="L16" s="80"/>
      <c r="M16" s="16"/>
      <c r="N16" s="80"/>
      <c r="O16" s="16"/>
      <c r="P16" s="16"/>
      <c r="Q16" s="16"/>
      <c r="R16" s="16"/>
      <c r="S16" s="16"/>
    </row>
    <row r="17" spans="1:19" s="17" customFormat="1" ht="51" customHeight="1">
      <c r="A17" s="337" t="s">
        <v>960</v>
      </c>
      <c r="B17" s="338" t="s">
        <v>949</v>
      </c>
      <c r="C17" s="318">
        <f>D17+E17</f>
        <v>277800</v>
      </c>
      <c r="D17" s="316">
        <f t="shared" si="0"/>
        <v>277800</v>
      </c>
      <c r="E17" s="316"/>
      <c r="F17" s="316"/>
      <c r="H17" s="16">
        <v>127800</v>
      </c>
      <c r="I17" s="16"/>
      <c r="J17" s="80">
        <v>150000</v>
      </c>
      <c r="K17" s="80"/>
      <c r="L17" s="80"/>
      <c r="M17" s="16"/>
      <c r="N17" s="80"/>
      <c r="O17" s="16"/>
      <c r="P17" s="16"/>
      <c r="Q17" s="16"/>
      <c r="R17" s="16"/>
      <c r="S17" s="16"/>
    </row>
    <row r="18" spans="1:19" s="17" customFormat="1" ht="23.25" customHeight="1" hidden="1">
      <c r="A18" s="337" t="s">
        <v>515</v>
      </c>
      <c r="B18" s="338" t="s">
        <v>516</v>
      </c>
      <c r="C18" s="317"/>
      <c r="D18" s="320">
        <f t="shared" si="0"/>
        <v>0</v>
      </c>
      <c r="E18" s="320"/>
      <c r="F18" s="320"/>
      <c r="H18" s="16"/>
      <c r="I18" s="16"/>
      <c r="J18" s="80"/>
      <c r="K18" s="80"/>
      <c r="L18" s="80"/>
      <c r="M18" s="16"/>
      <c r="N18" s="80"/>
      <c r="O18" s="16"/>
      <c r="P18" s="16"/>
      <c r="Q18" s="16"/>
      <c r="R18" s="16"/>
      <c r="S18" s="16"/>
    </row>
    <row r="19" spans="1:19" s="17" customFormat="1" ht="24.75" customHeight="1" hidden="1">
      <c r="A19" s="337" t="s">
        <v>916</v>
      </c>
      <c r="B19" s="338" t="s">
        <v>1047</v>
      </c>
      <c r="C19" s="317"/>
      <c r="D19" s="320">
        <f t="shared" si="0"/>
        <v>0</v>
      </c>
      <c r="E19" s="320"/>
      <c r="F19" s="320"/>
      <c r="H19" s="16"/>
      <c r="I19" s="16"/>
      <c r="J19" s="80"/>
      <c r="K19" s="80"/>
      <c r="L19" s="80"/>
      <c r="M19" s="16"/>
      <c r="N19" s="80"/>
      <c r="O19" s="16"/>
      <c r="P19" s="16"/>
      <c r="Q19" s="16"/>
      <c r="R19" s="16"/>
      <c r="S19" s="16"/>
    </row>
    <row r="20" spans="1:19" s="17" customFormat="1" ht="23.25" customHeight="1" hidden="1">
      <c r="A20" s="337" t="s">
        <v>571</v>
      </c>
      <c r="B20" s="338" t="s">
        <v>572</v>
      </c>
      <c r="C20" s="317"/>
      <c r="D20" s="320">
        <f t="shared" si="0"/>
        <v>0</v>
      </c>
      <c r="E20" s="320"/>
      <c r="F20" s="320"/>
      <c r="H20" s="16"/>
      <c r="I20" s="16"/>
      <c r="J20" s="80"/>
      <c r="K20" s="80"/>
      <c r="L20" s="80"/>
      <c r="M20" s="16"/>
      <c r="N20" s="80"/>
      <c r="O20" s="16"/>
      <c r="P20" s="16"/>
      <c r="Q20" s="16"/>
      <c r="R20" s="16"/>
      <c r="S20" s="16"/>
    </row>
    <row r="21" spans="1:19" s="17" customFormat="1" ht="26.25" customHeight="1" hidden="1">
      <c r="A21" s="337" t="s">
        <v>501</v>
      </c>
      <c r="B21" s="338" t="s">
        <v>15</v>
      </c>
      <c r="C21" s="317"/>
      <c r="D21" s="320">
        <f t="shared" si="0"/>
        <v>0</v>
      </c>
      <c r="E21" s="320"/>
      <c r="F21" s="320"/>
      <c r="H21" s="16"/>
      <c r="I21" s="16"/>
      <c r="J21" s="80"/>
      <c r="K21" s="80"/>
      <c r="L21" s="80"/>
      <c r="M21" s="16"/>
      <c r="N21" s="80"/>
      <c r="O21" s="16"/>
      <c r="P21" s="16"/>
      <c r="Q21" s="16"/>
      <c r="R21" s="16"/>
      <c r="S21" s="16"/>
    </row>
    <row r="22" spans="1:19" s="17" customFormat="1" ht="27" customHeight="1" hidden="1">
      <c r="A22" s="337">
        <v>11011300</v>
      </c>
      <c r="B22" s="338" t="s">
        <v>322</v>
      </c>
      <c r="C22" s="317"/>
      <c r="D22" s="320">
        <f t="shared" si="0"/>
        <v>0</v>
      </c>
      <c r="E22" s="320"/>
      <c r="F22" s="320"/>
      <c r="H22" s="16"/>
      <c r="I22" s="16"/>
      <c r="J22" s="80"/>
      <c r="K22" s="80"/>
      <c r="L22" s="80"/>
      <c r="M22" s="16"/>
      <c r="N22" s="80"/>
      <c r="O22" s="16"/>
      <c r="P22" s="16"/>
      <c r="Q22" s="16"/>
      <c r="R22" s="16"/>
      <c r="S22" s="16"/>
    </row>
    <row r="23" spans="1:19" s="17" customFormat="1" ht="39" customHeight="1" hidden="1">
      <c r="A23" s="337" t="s">
        <v>847</v>
      </c>
      <c r="B23" s="338" t="s">
        <v>562</v>
      </c>
      <c r="C23" s="317"/>
      <c r="D23" s="320">
        <f t="shared" si="0"/>
        <v>0</v>
      </c>
      <c r="E23" s="320"/>
      <c r="F23" s="320"/>
      <c r="H23" s="16"/>
      <c r="I23" s="16"/>
      <c r="J23" s="80"/>
      <c r="K23" s="80"/>
      <c r="L23" s="80"/>
      <c r="M23" s="16"/>
      <c r="N23" s="80"/>
      <c r="O23" s="16"/>
      <c r="P23" s="16"/>
      <c r="Q23" s="16"/>
      <c r="R23" s="16"/>
      <c r="S23" s="16"/>
    </row>
    <row r="24" spans="1:19" s="17" customFormat="1" ht="31.5" customHeight="1" hidden="1">
      <c r="A24" s="337" t="s">
        <v>563</v>
      </c>
      <c r="B24" s="338" t="s">
        <v>570</v>
      </c>
      <c r="C24" s="317"/>
      <c r="D24" s="320"/>
      <c r="E24" s="320"/>
      <c r="F24" s="320"/>
      <c r="H24" s="16"/>
      <c r="I24" s="16"/>
      <c r="J24" s="80"/>
      <c r="K24" s="80"/>
      <c r="L24" s="80"/>
      <c r="M24" s="16"/>
      <c r="N24" s="80"/>
      <c r="O24" s="16"/>
      <c r="P24" s="16"/>
      <c r="Q24" s="16"/>
      <c r="R24" s="16"/>
      <c r="S24" s="16"/>
    </row>
    <row r="25" spans="1:19" s="15" customFormat="1" ht="29.25" customHeight="1">
      <c r="A25" s="334" t="s">
        <v>856</v>
      </c>
      <c r="B25" s="335" t="s">
        <v>935</v>
      </c>
      <c r="C25" s="312">
        <f>D25+E25</f>
        <v>11500</v>
      </c>
      <c r="D25" s="313">
        <f>SUM(H25:S25)</f>
        <v>11500</v>
      </c>
      <c r="E25" s="313">
        <f>SUM(E27:E27)</f>
        <v>0</v>
      </c>
      <c r="F25" s="313">
        <f>SUM(F27:F27)</f>
        <v>0</v>
      </c>
      <c r="H25" s="28">
        <f>SUM(H27:H27)</f>
        <v>11500</v>
      </c>
      <c r="I25" s="28">
        <f aca="true" t="shared" si="4" ref="I25:S25">SUM(I27:I27)</f>
        <v>0</v>
      </c>
      <c r="J25" s="645">
        <f>SUM(J27:J27)</f>
        <v>0</v>
      </c>
      <c r="K25" s="28">
        <f t="shared" si="4"/>
        <v>0</v>
      </c>
      <c r="L25" s="28">
        <f t="shared" si="4"/>
        <v>0</v>
      </c>
      <c r="M25" s="28">
        <f t="shared" si="4"/>
        <v>0</v>
      </c>
      <c r="N25" s="28">
        <f t="shared" si="4"/>
        <v>0</v>
      </c>
      <c r="O25" s="28">
        <f t="shared" si="4"/>
        <v>0</v>
      </c>
      <c r="P25" s="28">
        <f t="shared" si="4"/>
        <v>0</v>
      </c>
      <c r="Q25" s="28">
        <f t="shared" si="4"/>
        <v>0</v>
      </c>
      <c r="R25" s="28">
        <f t="shared" si="4"/>
        <v>0</v>
      </c>
      <c r="S25" s="28">
        <f t="shared" si="4"/>
        <v>0</v>
      </c>
    </row>
    <row r="26" spans="1:19" s="15" customFormat="1" ht="16.5" customHeight="1" hidden="1">
      <c r="A26" s="336" t="s">
        <v>998</v>
      </c>
      <c r="B26" s="333"/>
      <c r="C26" s="315"/>
      <c r="D26" s="320"/>
      <c r="E26" s="320"/>
      <c r="F26" s="320"/>
      <c r="H26" s="27"/>
      <c r="I26" s="14"/>
      <c r="J26" s="50"/>
      <c r="K26" s="50"/>
      <c r="L26" s="50"/>
      <c r="M26" s="14"/>
      <c r="N26" s="50"/>
      <c r="O26" s="14"/>
      <c r="P26" s="14"/>
      <c r="Q26" s="14"/>
      <c r="R26" s="14"/>
      <c r="S26" s="14"/>
    </row>
    <row r="27" spans="1:19" s="17" customFormat="1" ht="38.25" customHeight="1">
      <c r="A27" s="337" t="s">
        <v>854</v>
      </c>
      <c r="B27" s="338" t="s">
        <v>952</v>
      </c>
      <c r="C27" s="318">
        <f>D27+E27</f>
        <v>11500</v>
      </c>
      <c r="D27" s="316">
        <f>SUM(H27:S27)</f>
        <v>11500</v>
      </c>
      <c r="E27" s="316"/>
      <c r="F27" s="316"/>
      <c r="H27" s="16">
        <v>11500</v>
      </c>
      <c r="I27" s="16"/>
      <c r="J27" s="80"/>
      <c r="K27" s="80"/>
      <c r="L27" s="80"/>
      <c r="M27" s="16"/>
      <c r="N27" s="80"/>
      <c r="O27" s="16"/>
      <c r="P27" s="16"/>
      <c r="Q27" s="16"/>
      <c r="R27" s="16"/>
      <c r="S27" s="16"/>
    </row>
    <row r="28" spans="1:19" s="13" customFormat="1" ht="36.75" customHeight="1">
      <c r="A28" s="334" t="s">
        <v>857</v>
      </c>
      <c r="B28" s="335" t="s">
        <v>754</v>
      </c>
      <c r="C28" s="312">
        <f>D28+E28</f>
        <v>370000</v>
      </c>
      <c r="D28" s="313">
        <f t="shared" si="0"/>
        <v>370000</v>
      </c>
      <c r="E28" s="313">
        <f>E29+E32</f>
        <v>0</v>
      </c>
      <c r="F28" s="313">
        <f>F29+F32</f>
        <v>0</v>
      </c>
      <c r="H28" s="12">
        <f>H29+H32</f>
        <v>0</v>
      </c>
      <c r="I28" s="12">
        <f aca="true" t="shared" si="5" ref="I28:R28">I29+I32</f>
        <v>0</v>
      </c>
      <c r="J28" s="46">
        <f>J29</f>
        <v>370000</v>
      </c>
      <c r="K28" s="46">
        <f t="shared" si="5"/>
        <v>0</v>
      </c>
      <c r="L28" s="46">
        <f t="shared" si="5"/>
        <v>0</v>
      </c>
      <c r="M28" s="12">
        <f t="shared" si="5"/>
        <v>0</v>
      </c>
      <c r="N28" s="46">
        <f t="shared" si="5"/>
        <v>0</v>
      </c>
      <c r="O28" s="12">
        <f t="shared" si="5"/>
        <v>0</v>
      </c>
      <c r="P28" s="12">
        <f t="shared" si="5"/>
        <v>0</v>
      </c>
      <c r="Q28" s="12">
        <f t="shared" si="5"/>
        <v>0</v>
      </c>
      <c r="R28" s="12">
        <f t="shared" si="5"/>
        <v>0</v>
      </c>
      <c r="S28" s="12">
        <f>S29+S32</f>
        <v>0</v>
      </c>
    </row>
    <row r="29" spans="1:19" s="15" customFormat="1" ht="43.5" customHeight="1">
      <c r="A29" s="643" t="s">
        <v>755</v>
      </c>
      <c r="B29" s="333" t="s">
        <v>757</v>
      </c>
      <c r="C29" s="239">
        <f>D29+E29</f>
        <v>370000</v>
      </c>
      <c r="D29" s="316">
        <f>SUM(H29:S29)</f>
        <v>370000</v>
      </c>
      <c r="E29" s="316">
        <f>SUM(E30:E31)</f>
        <v>0</v>
      </c>
      <c r="F29" s="316">
        <f>SUM(F30:F31)</f>
        <v>0</v>
      </c>
      <c r="H29" s="14">
        <f>H30</f>
        <v>0</v>
      </c>
      <c r="I29" s="14">
        <f aca="true" t="shared" si="6" ref="I29:R29">SUM(I30:I31)</f>
        <v>0</v>
      </c>
      <c r="J29" s="50">
        <f>J30</f>
        <v>370000</v>
      </c>
      <c r="K29" s="50">
        <f t="shared" si="6"/>
        <v>0</v>
      </c>
      <c r="L29" s="50">
        <f>L30</f>
        <v>0</v>
      </c>
      <c r="M29" s="14">
        <f t="shared" si="6"/>
        <v>0</v>
      </c>
      <c r="N29" s="50">
        <f t="shared" si="6"/>
        <v>0</v>
      </c>
      <c r="O29" s="14">
        <f t="shared" si="6"/>
        <v>0</v>
      </c>
      <c r="P29" s="14">
        <f t="shared" si="6"/>
        <v>0</v>
      </c>
      <c r="Q29" s="14">
        <f t="shared" si="6"/>
        <v>0</v>
      </c>
      <c r="R29" s="14">
        <f t="shared" si="6"/>
        <v>0</v>
      </c>
      <c r="S29" s="14">
        <f>SUM(S30:S31)</f>
        <v>0</v>
      </c>
    </row>
    <row r="30" spans="1:19" s="17" customFormat="1" ht="52.5" customHeight="1">
      <c r="A30" s="644" t="s">
        <v>756</v>
      </c>
      <c r="B30" s="338" t="s">
        <v>758</v>
      </c>
      <c r="C30" s="318">
        <f>D30+E30</f>
        <v>370000</v>
      </c>
      <c r="D30" s="319">
        <f t="shared" si="0"/>
        <v>370000</v>
      </c>
      <c r="E30" s="319"/>
      <c r="F30" s="319"/>
      <c r="H30" s="16">
        <v>0</v>
      </c>
      <c r="I30" s="16"/>
      <c r="J30" s="80">
        <v>370000</v>
      </c>
      <c r="K30" s="80"/>
      <c r="L30" s="80"/>
      <c r="M30" s="16"/>
      <c r="N30" s="80"/>
      <c r="O30" s="16"/>
      <c r="P30" s="16"/>
      <c r="Q30" s="16"/>
      <c r="R30" s="16"/>
      <c r="S30" s="16"/>
    </row>
    <row r="31" spans="1:19" s="17" customFormat="1" ht="16.5" hidden="1">
      <c r="A31" s="337"/>
      <c r="B31" s="338"/>
      <c r="C31" s="321"/>
      <c r="D31" s="316">
        <f t="shared" si="0"/>
        <v>0</v>
      </c>
      <c r="E31" s="316"/>
      <c r="F31" s="316"/>
      <c r="H31" s="16"/>
      <c r="I31" s="16"/>
      <c r="J31" s="80"/>
      <c r="K31" s="80"/>
      <c r="L31" s="80"/>
      <c r="M31" s="16"/>
      <c r="N31" s="80"/>
      <c r="O31" s="16"/>
      <c r="P31" s="16"/>
      <c r="Q31" s="16"/>
      <c r="R31" s="16"/>
      <c r="S31" s="16"/>
    </row>
    <row r="32" spans="1:19" s="15" customFormat="1" ht="16.5" hidden="1">
      <c r="A32" s="336" t="s">
        <v>858</v>
      </c>
      <c r="B32" s="333" t="s">
        <v>936</v>
      </c>
      <c r="C32" s="315"/>
      <c r="D32" s="320">
        <f t="shared" si="0"/>
        <v>0</v>
      </c>
      <c r="E32" s="320">
        <f>SUM(E33:E37)</f>
        <v>0</v>
      </c>
      <c r="F32" s="320">
        <f>SUM(F33:F37)</f>
        <v>0</v>
      </c>
      <c r="H32" s="14">
        <f>SUM(H33:H37)</f>
        <v>0</v>
      </c>
      <c r="I32" s="14">
        <f aca="true" t="shared" si="7" ref="I32:R32">SUM(I33:I37)</f>
        <v>0</v>
      </c>
      <c r="J32" s="50">
        <f t="shared" si="7"/>
        <v>0</v>
      </c>
      <c r="K32" s="50">
        <f t="shared" si="7"/>
        <v>0</v>
      </c>
      <c r="L32" s="50">
        <f t="shared" si="7"/>
        <v>0</v>
      </c>
      <c r="M32" s="14">
        <f t="shared" si="7"/>
        <v>0</v>
      </c>
      <c r="N32" s="50">
        <f t="shared" si="7"/>
        <v>0</v>
      </c>
      <c r="O32" s="14">
        <f t="shared" si="7"/>
        <v>0</v>
      </c>
      <c r="P32" s="14">
        <f t="shared" si="7"/>
        <v>0</v>
      </c>
      <c r="Q32" s="14">
        <f t="shared" si="7"/>
        <v>0</v>
      </c>
      <c r="R32" s="14">
        <f t="shared" si="7"/>
        <v>0</v>
      </c>
      <c r="S32" s="14">
        <f>SUM(S33:S37)</f>
        <v>0</v>
      </c>
    </row>
    <row r="33" spans="1:19" s="17" customFormat="1" ht="16.5" hidden="1">
      <c r="A33" s="337" t="s">
        <v>902</v>
      </c>
      <c r="B33" s="338" t="s">
        <v>906</v>
      </c>
      <c r="C33" s="317"/>
      <c r="D33" s="320">
        <f t="shared" si="0"/>
        <v>0</v>
      </c>
      <c r="E33" s="320"/>
      <c r="F33" s="320"/>
      <c r="H33" s="16"/>
      <c r="I33" s="16"/>
      <c r="J33" s="80"/>
      <c r="K33" s="80"/>
      <c r="L33" s="80"/>
      <c r="M33" s="16"/>
      <c r="N33" s="80"/>
      <c r="O33" s="16"/>
      <c r="P33" s="16"/>
      <c r="Q33" s="16"/>
      <c r="R33" s="16"/>
      <c r="S33" s="16"/>
    </row>
    <row r="34" spans="1:19" s="17" customFormat="1" ht="0.75" customHeight="1" hidden="1">
      <c r="A34" s="337" t="s">
        <v>903</v>
      </c>
      <c r="B34" s="338" t="s">
        <v>907</v>
      </c>
      <c r="C34" s="317"/>
      <c r="D34" s="320">
        <f t="shared" si="0"/>
        <v>0</v>
      </c>
      <c r="E34" s="320"/>
      <c r="F34" s="320"/>
      <c r="H34" s="16"/>
      <c r="I34" s="16"/>
      <c r="J34" s="80"/>
      <c r="K34" s="80"/>
      <c r="L34" s="80"/>
      <c r="M34" s="16"/>
      <c r="N34" s="80"/>
      <c r="O34" s="16"/>
      <c r="P34" s="16"/>
      <c r="Q34" s="16"/>
      <c r="R34" s="16"/>
      <c r="S34" s="16"/>
    </row>
    <row r="35" spans="1:19" s="17" customFormat="1" ht="0.75" customHeight="1" hidden="1">
      <c r="A35" s="337" t="s">
        <v>904</v>
      </c>
      <c r="B35" s="338" t="s">
        <v>908</v>
      </c>
      <c r="C35" s="317"/>
      <c r="D35" s="320">
        <f t="shared" si="0"/>
        <v>0</v>
      </c>
      <c r="E35" s="320"/>
      <c r="F35" s="320"/>
      <c r="H35" s="16"/>
      <c r="I35" s="16"/>
      <c r="J35" s="80"/>
      <c r="K35" s="80"/>
      <c r="L35" s="80"/>
      <c r="M35" s="16"/>
      <c r="N35" s="80"/>
      <c r="O35" s="16"/>
      <c r="P35" s="16"/>
      <c r="Q35" s="16"/>
      <c r="R35" s="16"/>
      <c r="S35" s="16"/>
    </row>
    <row r="36" spans="1:19" s="17" customFormat="1" ht="31.5" hidden="1">
      <c r="A36" s="337" t="s">
        <v>202</v>
      </c>
      <c r="B36" s="338" t="s">
        <v>175</v>
      </c>
      <c r="C36" s="317"/>
      <c r="D36" s="316">
        <f t="shared" si="0"/>
        <v>0</v>
      </c>
      <c r="E36" s="316"/>
      <c r="F36" s="316"/>
      <c r="H36" s="16"/>
      <c r="I36" s="16"/>
      <c r="J36" s="80"/>
      <c r="K36" s="80"/>
      <c r="L36" s="80"/>
      <c r="M36" s="16"/>
      <c r="N36" s="80"/>
      <c r="O36" s="16"/>
      <c r="P36" s="16"/>
      <c r="Q36" s="16"/>
      <c r="R36" s="16"/>
      <c r="S36" s="16"/>
    </row>
    <row r="37" spans="1:19" s="17" customFormat="1" ht="16.5" hidden="1">
      <c r="A37" s="337" t="s">
        <v>905</v>
      </c>
      <c r="B37" s="338" t="s">
        <v>909</v>
      </c>
      <c r="C37" s="317"/>
      <c r="D37" s="320">
        <f t="shared" si="0"/>
        <v>0</v>
      </c>
      <c r="E37" s="320"/>
      <c r="F37" s="320"/>
      <c r="H37" s="16"/>
      <c r="I37" s="16"/>
      <c r="J37" s="80"/>
      <c r="K37" s="80"/>
      <c r="L37" s="80"/>
      <c r="M37" s="16"/>
      <c r="N37" s="80"/>
      <c r="O37" s="16"/>
      <c r="P37" s="16"/>
      <c r="Q37" s="16"/>
      <c r="R37" s="16"/>
      <c r="S37" s="16"/>
    </row>
    <row r="38" spans="1:19" s="13" customFormat="1" ht="14.25" customHeight="1" hidden="1">
      <c r="A38" s="334" t="s">
        <v>859</v>
      </c>
      <c r="B38" s="335" t="s">
        <v>466</v>
      </c>
      <c r="C38" s="311"/>
      <c r="D38" s="313">
        <f t="shared" si="0"/>
        <v>0</v>
      </c>
      <c r="E38" s="313">
        <f>E39</f>
        <v>0</v>
      </c>
      <c r="F38" s="313">
        <f>F39</f>
        <v>0</v>
      </c>
      <c r="H38" s="12">
        <f aca="true" t="shared" si="8" ref="H38:S39">H39</f>
        <v>0</v>
      </c>
      <c r="I38" s="12">
        <f t="shared" si="8"/>
        <v>0</v>
      </c>
      <c r="J38" s="46">
        <f t="shared" si="8"/>
        <v>0</v>
      </c>
      <c r="K38" s="46">
        <f t="shared" si="8"/>
        <v>0</v>
      </c>
      <c r="L38" s="46">
        <f t="shared" si="8"/>
        <v>0</v>
      </c>
      <c r="M38" s="12">
        <f t="shared" si="8"/>
        <v>0</v>
      </c>
      <c r="N38" s="46">
        <f t="shared" si="8"/>
        <v>0</v>
      </c>
      <c r="O38" s="12">
        <f t="shared" si="8"/>
        <v>0</v>
      </c>
      <c r="P38" s="12">
        <f t="shared" si="8"/>
        <v>0</v>
      </c>
      <c r="Q38" s="12">
        <f t="shared" si="8"/>
        <v>0</v>
      </c>
      <c r="R38" s="12">
        <f t="shared" si="8"/>
        <v>0</v>
      </c>
      <c r="S38" s="12">
        <f t="shared" si="8"/>
        <v>0</v>
      </c>
    </row>
    <row r="39" spans="1:19" s="15" customFormat="1" ht="19.5" customHeight="1" hidden="1">
      <c r="A39" s="336" t="s">
        <v>465</v>
      </c>
      <c r="B39" s="333" t="s">
        <v>513</v>
      </c>
      <c r="C39" s="322"/>
      <c r="D39" s="316">
        <f t="shared" si="0"/>
        <v>0</v>
      </c>
      <c r="E39" s="316">
        <f>E40</f>
        <v>0</v>
      </c>
      <c r="F39" s="316">
        <f>F40</f>
        <v>0</v>
      </c>
      <c r="H39" s="14">
        <f t="shared" si="8"/>
        <v>0</v>
      </c>
      <c r="I39" s="14">
        <f t="shared" si="8"/>
        <v>0</v>
      </c>
      <c r="J39" s="50">
        <f t="shared" si="8"/>
        <v>0</v>
      </c>
      <c r="K39" s="50">
        <f t="shared" si="8"/>
        <v>0</v>
      </c>
      <c r="L39" s="50">
        <f t="shared" si="8"/>
        <v>0</v>
      </c>
      <c r="M39" s="14">
        <f t="shared" si="8"/>
        <v>0</v>
      </c>
      <c r="N39" s="50">
        <f t="shared" si="8"/>
        <v>0</v>
      </c>
      <c r="O39" s="14">
        <f t="shared" si="8"/>
        <v>0</v>
      </c>
      <c r="P39" s="14">
        <f t="shared" si="8"/>
        <v>0</v>
      </c>
      <c r="Q39" s="14">
        <f t="shared" si="8"/>
        <v>0</v>
      </c>
      <c r="R39" s="14">
        <f t="shared" si="8"/>
        <v>0</v>
      </c>
      <c r="S39" s="14">
        <f t="shared" si="8"/>
        <v>0</v>
      </c>
    </row>
    <row r="40" spans="1:19" s="17" customFormat="1" ht="21.75" customHeight="1" hidden="1">
      <c r="A40" s="337" t="s">
        <v>860</v>
      </c>
      <c r="B40" s="338" t="s">
        <v>875</v>
      </c>
      <c r="C40" s="321"/>
      <c r="D40" s="316">
        <f t="shared" si="0"/>
        <v>0</v>
      </c>
      <c r="E40" s="316"/>
      <c r="F40" s="316"/>
      <c r="H40" s="16"/>
      <c r="I40" s="16"/>
      <c r="J40" s="80"/>
      <c r="K40" s="80"/>
      <c r="L40" s="80"/>
      <c r="M40" s="16"/>
      <c r="N40" s="80"/>
      <c r="O40" s="16"/>
      <c r="P40" s="16"/>
      <c r="Q40" s="16"/>
      <c r="R40" s="16"/>
      <c r="S40" s="16"/>
    </row>
    <row r="41" spans="1:19" s="13" customFormat="1" ht="27" customHeight="1">
      <c r="A41" s="334" t="s">
        <v>861</v>
      </c>
      <c r="B41" s="335" t="s">
        <v>467</v>
      </c>
      <c r="C41" s="312">
        <f>D41+E41</f>
        <v>1956315</v>
      </c>
      <c r="D41" s="313">
        <f t="shared" si="0"/>
        <v>547008</v>
      </c>
      <c r="E41" s="313">
        <f>E42+E50+E58+E61+E64</f>
        <v>1409307</v>
      </c>
      <c r="F41" s="313">
        <f>F42+F50+F58+F61+F64</f>
        <v>0</v>
      </c>
      <c r="H41" s="12">
        <f>H42+H50+H58+H61</f>
        <v>371900</v>
      </c>
      <c r="I41" s="12">
        <f aca="true" t="shared" si="9" ref="I41:S41">I42+I50+I58+I61</f>
        <v>0</v>
      </c>
      <c r="J41" s="46">
        <f>J42+J50+J58+J61</f>
        <v>120000</v>
      </c>
      <c r="K41" s="12">
        <f t="shared" si="9"/>
        <v>55108</v>
      </c>
      <c r="L41" s="12">
        <f t="shared" si="9"/>
        <v>0</v>
      </c>
      <c r="M41" s="12">
        <f t="shared" si="9"/>
        <v>0</v>
      </c>
      <c r="N41" s="12">
        <f t="shared" si="9"/>
        <v>0</v>
      </c>
      <c r="O41" s="12">
        <f t="shared" si="9"/>
        <v>0</v>
      </c>
      <c r="P41" s="12">
        <f t="shared" si="9"/>
        <v>0</v>
      </c>
      <c r="Q41" s="12">
        <f t="shared" si="9"/>
        <v>0</v>
      </c>
      <c r="R41" s="12">
        <f t="shared" si="9"/>
        <v>0</v>
      </c>
      <c r="S41" s="12">
        <f t="shared" si="9"/>
        <v>0</v>
      </c>
    </row>
    <row r="42" spans="1:19" s="13" customFormat="1" ht="36" customHeight="1">
      <c r="A42" s="334" t="s">
        <v>862</v>
      </c>
      <c r="B42" s="335" t="s">
        <v>831</v>
      </c>
      <c r="C42" s="312">
        <f aca="true" t="shared" si="10" ref="C42:C48">D42+E42</f>
        <v>1500</v>
      </c>
      <c r="D42" s="313">
        <f t="shared" si="0"/>
        <v>1500</v>
      </c>
      <c r="E42" s="313">
        <f>E45+E46+E49+E43</f>
        <v>0</v>
      </c>
      <c r="F42" s="313">
        <f>F45+F46+F49+F43</f>
        <v>0</v>
      </c>
      <c r="H42" s="12">
        <f>H45+H46+H49+H44</f>
        <v>1500</v>
      </c>
      <c r="I42" s="12">
        <f aca="true" t="shared" si="11" ref="I42:S42">I45+I46+I49+I44</f>
        <v>0</v>
      </c>
      <c r="J42" s="46">
        <f t="shared" si="11"/>
        <v>0</v>
      </c>
      <c r="K42" s="12">
        <f t="shared" si="11"/>
        <v>0</v>
      </c>
      <c r="L42" s="12">
        <f t="shared" si="11"/>
        <v>0</v>
      </c>
      <c r="M42" s="12">
        <f t="shared" si="11"/>
        <v>0</v>
      </c>
      <c r="N42" s="12">
        <f t="shared" si="11"/>
        <v>0</v>
      </c>
      <c r="O42" s="12">
        <f t="shared" si="11"/>
        <v>0</v>
      </c>
      <c r="P42" s="12">
        <f t="shared" si="11"/>
        <v>0</v>
      </c>
      <c r="Q42" s="12">
        <f t="shared" si="11"/>
        <v>0</v>
      </c>
      <c r="R42" s="12">
        <f t="shared" si="11"/>
        <v>0</v>
      </c>
      <c r="S42" s="12">
        <f t="shared" si="11"/>
        <v>0</v>
      </c>
    </row>
    <row r="43" spans="1:19" s="13" customFormat="1" ht="111.75" customHeight="1">
      <c r="A43" s="334" t="s">
        <v>23</v>
      </c>
      <c r="B43" s="335" t="s">
        <v>927</v>
      </c>
      <c r="C43" s="312">
        <f t="shared" si="10"/>
        <v>1500</v>
      </c>
      <c r="D43" s="313">
        <f aca="true" t="shared" si="12" ref="D43:D48">SUM(H43:S43)</f>
        <v>1500</v>
      </c>
      <c r="E43" s="313"/>
      <c r="F43" s="313"/>
      <c r="H43" s="12">
        <f>H44</f>
        <v>1500</v>
      </c>
      <c r="I43" s="12">
        <f aca="true" t="shared" si="13" ref="I43:S43">I44</f>
        <v>0</v>
      </c>
      <c r="J43" s="46">
        <f t="shared" si="13"/>
        <v>0</v>
      </c>
      <c r="K43" s="12">
        <f t="shared" si="13"/>
        <v>0</v>
      </c>
      <c r="L43" s="12">
        <f t="shared" si="13"/>
        <v>0</v>
      </c>
      <c r="M43" s="12">
        <f t="shared" si="13"/>
        <v>0</v>
      </c>
      <c r="N43" s="12">
        <f t="shared" si="13"/>
        <v>0</v>
      </c>
      <c r="O43" s="12">
        <f t="shared" si="13"/>
        <v>0</v>
      </c>
      <c r="P43" s="12">
        <f t="shared" si="13"/>
        <v>0</v>
      </c>
      <c r="Q43" s="12">
        <f t="shared" si="13"/>
        <v>0</v>
      </c>
      <c r="R43" s="12">
        <f t="shared" si="13"/>
        <v>0</v>
      </c>
      <c r="S43" s="12">
        <f t="shared" si="13"/>
        <v>0</v>
      </c>
    </row>
    <row r="44" spans="1:19" s="45" customFormat="1" ht="51.75" customHeight="1">
      <c r="A44" s="337" t="s">
        <v>203</v>
      </c>
      <c r="B44" s="338" t="s">
        <v>589</v>
      </c>
      <c r="C44" s="318">
        <f t="shared" si="10"/>
        <v>1500</v>
      </c>
      <c r="D44" s="316">
        <f t="shared" si="12"/>
        <v>1500</v>
      </c>
      <c r="E44" s="316"/>
      <c r="F44" s="316"/>
      <c r="G44" s="17"/>
      <c r="H44" s="16">
        <v>1500</v>
      </c>
      <c r="I44" s="16"/>
      <c r="J44" s="80"/>
      <c r="K44" s="263"/>
      <c r="L44" s="80"/>
      <c r="M44" s="44"/>
      <c r="N44" s="80"/>
      <c r="O44" s="44"/>
      <c r="P44" s="44"/>
      <c r="Q44" s="44"/>
      <c r="R44" s="44"/>
      <c r="S44" s="44"/>
    </row>
    <row r="45" spans="1:19" s="17" customFormat="1" ht="39.75" customHeight="1" hidden="1">
      <c r="A45" s="337" t="s">
        <v>493</v>
      </c>
      <c r="B45" s="338" t="s">
        <v>893</v>
      </c>
      <c r="C45" s="318">
        <f t="shared" si="10"/>
        <v>0</v>
      </c>
      <c r="D45" s="316">
        <f t="shared" si="12"/>
        <v>0</v>
      </c>
      <c r="E45" s="316"/>
      <c r="F45" s="316"/>
      <c r="H45" s="69"/>
      <c r="I45" s="16"/>
      <c r="J45" s="80"/>
      <c r="K45" s="80"/>
      <c r="L45" s="80"/>
      <c r="M45" s="16"/>
      <c r="N45" s="80"/>
      <c r="O45" s="16"/>
      <c r="P45" s="16"/>
      <c r="Q45" s="16"/>
      <c r="R45" s="16"/>
      <c r="S45" s="16"/>
    </row>
    <row r="46" spans="1:19" s="15" customFormat="1" ht="36" customHeight="1" hidden="1">
      <c r="A46" s="336" t="s">
        <v>319</v>
      </c>
      <c r="B46" s="333" t="s">
        <v>320</v>
      </c>
      <c r="C46" s="318">
        <f t="shared" si="10"/>
        <v>0</v>
      </c>
      <c r="D46" s="316">
        <f t="shared" si="12"/>
        <v>0</v>
      </c>
      <c r="E46" s="316">
        <f>SUM(E47:E48)</f>
        <v>0</v>
      </c>
      <c r="F46" s="316">
        <f>SUM(F47:F48)</f>
        <v>0</v>
      </c>
      <c r="H46" s="14"/>
      <c r="I46" s="14">
        <f aca="true" t="shared" si="14" ref="I46:R46">SUM(I47:I48)</f>
        <v>0</v>
      </c>
      <c r="J46" s="50">
        <f t="shared" si="14"/>
        <v>0</v>
      </c>
      <c r="K46" s="50">
        <f t="shared" si="14"/>
        <v>0</v>
      </c>
      <c r="L46" s="50">
        <f t="shared" si="14"/>
        <v>0</v>
      </c>
      <c r="M46" s="14">
        <f t="shared" si="14"/>
        <v>0</v>
      </c>
      <c r="N46" s="50">
        <f t="shared" si="14"/>
        <v>0</v>
      </c>
      <c r="O46" s="14">
        <f t="shared" si="14"/>
        <v>0</v>
      </c>
      <c r="P46" s="14">
        <f t="shared" si="14"/>
        <v>0</v>
      </c>
      <c r="Q46" s="14">
        <f t="shared" si="14"/>
        <v>0</v>
      </c>
      <c r="R46" s="14">
        <f t="shared" si="14"/>
        <v>0</v>
      </c>
      <c r="S46" s="14">
        <f>SUM(S47:S48)</f>
        <v>0</v>
      </c>
    </row>
    <row r="47" spans="1:19" s="17" customFormat="1" ht="36.75" customHeight="1" hidden="1">
      <c r="A47" s="337"/>
      <c r="B47" s="338"/>
      <c r="C47" s="318">
        <f t="shared" si="10"/>
        <v>0</v>
      </c>
      <c r="D47" s="316">
        <f t="shared" si="12"/>
        <v>0</v>
      </c>
      <c r="E47" s="316"/>
      <c r="F47" s="316"/>
      <c r="H47" s="16"/>
      <c r="I47" s="16"/>
      <c r="J47" s="80"/>
      <c r="K47" s="80"/>
      <c r="L47" s="80"/>
      <c r="M47" s="16"/>
      <c r="N47" s="80"/>
      <c r="O47" s="16"/>
      <c r="P47" s="16"/>
      <c r="Q47" s="16"/>
      <c r="R47" s="16"/>
      <c r="S47" s="16"/>
    </row>
    <row r="48" spans="1:19" s="17" customFormat="1" ht="39.75" customHeight="1" hidden="1">
      <c r="A48" s="337"/>
      <c r="B48" s="338"/>
      <c r="C48" s="318">
        <f t="shared" si="10"/>
        <v>0</v>
      </c>
      <c r="D48" s="316">
        <f t="shared" si="12"/>
        <v>0</v>
      </c>
      <c r="E48" s="316"/>
      <c r="F48" s="316"/>
      <c r="H48" s="16"/>
      <c r="I48" s="16"/>
      <c r="J48" s="80"/>
      <c r="K48" s="80"/>
      <c r="L48" s="80"/>
      <c r="M48" s="16"/>
      <c r="N48" s="80"/>
      <c r="O48" s="16"/>
      <c r="P48" s="16"/>
      <c r="Q48" s="16"/>
      <c r="R48" s="16"/>
      <c r="S48" s="16"/>
    </row>
    <row r="49" spans="1:19" s="17" customFormat="1" ht="51" customHeight="1" hidden="1">
      <c r="A49" s="337" t="s">
        <v>834</v>
      </c>
      <c r="B49" s="338" t="s">
        <v>835</v>
      </c>
      <c r="C49" s="318">
        <f aca="true" t="shared" si="15" ref="C49:C57">D49+E49</f>
        <v>0</v>
      </c>
      <c r="D49" s="316"/>
      <c r="E49" s="316"/>
      <c r="F49" s="316"/>
      <c r="H49" s="16">
        <v>0</v>
      </c>
      <c r="I49" s="16"/>
      <c r="J49" s="80"/>
      <c r="K49" s="80"/>
      <c r="L49" s="80"/>
      <c r="M49" s="16"/>
      <c r="N49" s="80"/>
      <c r="O49" s="16"/>
      <c r="P49" s="16"/>
      <c r="Q49" s="16"/>
      <c r="R49" s="16"/>
      <c r="S49" s="16"/>
    </row>
    <row r="50" spans="1:19" s="13" customFormat="1" ht="39.75" customHeight="1">
      <c r="A50" s="334" t="s">
        <v>863</v>
      </c>
      <c r="B50" s="335" t="s">
        <v>27</v>
      </c>
      <c r="C50" s="312">
        <f t="shared" si="15"/>
        <v>430400</v>
      </c>
      <c r="D50" s="313">
        <f aca="true" t="shared" si="16" ref="D50:D61">SUM(H50:S50)</f>
        <v>430400</v>
      </c>
      <c r="E50" s="313">
        <f>E56</f>
        <v>0</v>
      </c>
      <c r="F50" s="313">
        <f>F56</f>
        <v>0</v>
      </c>
      <c r="H50" s="12">
        <f>H56+H51</f>
        <v>310400</v>
      </c>
      <c r="I50" s="12">
        <f aca="true" t="shared" si="17" ref="I50:S50">I56+I51</f>
        <v>0</v>
      </c>
      <c r="J50" s="46">
        <f>J51</f>
        <v>120000</v>
      </c>
      <c r="K50" s="12">
        <f t="shared" si="17"/>
        <v>0</v>
      </c>
      <c r="L50" s="12">
        <f t="shared" si="17"/>
        <v>0</v>
      </c>
      <c r="M50" s="12">
        <f t="shared" si="17"/>
        <v>0</v>
      </c>
      <c r="N50" s="12">
        <f t="shared" si="17"/>
        <v>0</v>
      </c>
      <c r="O50" s="12">
        <f t="shared" si="17"/>
        <v>0</v>
      </c>
      <c r="P50" s="12">
        <f t="shared" si="17"/>
        <v>0</v>
      </c>
      <c r="Q50" s="12">
        <f t="shared" si="17"/>
        <v>0</v>
      </c>
      <c r="R50" s="12">
        <f t="shared" si="17"/>
        <v>0</v>
      </c>
      <c r="S50" s="12">
        <f t="shared" si="17"/>
        <v>0</v>
      </c>
    </row>
    <row r="51" spans="1:19" s="13" customFormat="1" ht="27" customHeight="1">
      <c r="A51" s="334" t="s">
        <v>257</v>
      </c>
      <c r="B51" s="335" t="s">
        <v>306</v>
      </c>
      <c r="C51" s="312">
        <f t="shared" si="15"/>
        <v>212000</v>
      </c>
      <c r="D51" s="313">
        <f>SUM(H51:S51)</f>
        <v>212000</v>
      </c>
      <c r="E51" s="313"/>
      <c r="F51" s="313"/>
      <c r="H51" s="12">
        <f>H52+H54+H55</f>
        <v>92000</v>
      </c>
      <c r="I51" s="12">
        <f>I52+I54+I55</f>
        <v>0</v>
      </c>
      <c r="J51" s="46">
        <f>J52+J53+J54+J55</f>
        <v>120000</v>
      </c>
      <c r="K51" s="46">
        <f>K52+K54+K55</f>
        <v>0</v>
      </c>
      <c r="L51" s="46">
        <f>L52+L53+L54+L55</f>
        <v>0</v>
      </c>
      <c r="M51" s="12"/>
      <c r="N51" s="46">
        <f>N52+N54+N55</f>
        <v>0</v>
      </c>
      <c r="O51" s="12"/>
      <c r="P51" s="12"/>
      <c r="Q51" s="12"/>
      <c r="R51" s="12"/>
      <c r="S51" s="12"/>
    </row>
    <row r="52" spans="1:19" s="13" customFormat="1" ht="54" customHeight="1">
      <c r="A52" s="337" t="s">
        <v>258</v>
      </c>
      <c r="B52" s="338" t="s">
        <v>676</v>
      </c>
      <c r="C52" s="239">
        <f>D52+E52</f>
        <v>23000</v>
      </c>
      <c r="D52" s="316">
        <f t="shared" si="16"/>
        <v>23000</v>
      </c>
      <c r="E52" s="313"/>
      <c r="F52" s="313"/>
      <c r="H52" s="14">
        <v>23000</v>
      </c>
      <c r="I52" s="12"/>
      <c r="J52" s="50"/>
      <c r="K52" s="46"/>
      <c r="L52" s="46"/>
      <c r="M52" s="12"/>
      <c r="N52" s="50"/>
      <c r="O52" s="12"/>
      <c r="P52" s="12"/>
      <c r="Q52" s="12"/>
      <c r="R52" s="12"/>
      <c r="S52" s="12"/>
    </row>
    <row r="53" spans="1:19" s="13" customFormat="1" ht="26.25" customHeight="1">
      <c r="A53" s="337" t="s">
        <v>561</v>
      </c>
      <c r="B53" s="338" t="s">
        <v>306</v>
      </c>
      <c r="C53" s="239">
        <f>D53+E53</f>
        <v>120000</v>
      </c>
      <c r="D53" s="316">
        <f t="shared" si="16"/>
        <v>120000</v>
      </c>
      <c r="E53" s="313"/>
      <c r="F53" s="313"/>
      <c r="H53" s="14"/>
      <c r="I53" s="12"/>
      <c r="J53" s="50">
        <v>120000</v>
      </c>
      <c r="K53" s="46"/>
      <c r="L53" s="46"/>
      <c r="M53" s="12"/>
      <c r="N53" s="50"/>
      <c r="O53" s="12"/>
      <c r="P53" s="12"/>
      <c r="Q53" s="12"/>
      <c r="R53" s="12"/>
      <c r="S53" s="12"/>
    </row>
    <row r="54" spans="1:19" s="13" customFormat="1" ht="41.25" customHeight="1">
      <c r="A54" s="337" t="s">
        <v>259</v>
      </c>
      <c r="B54" s="338" t="s">
        <v>677</v>
      </c>
      <c r="C54" s="239">
        <f t="shared" si="15"/>
        <v>68700</v>
      </c>
      <c r="D54" s="316">
        <f t="shared" si="16"/>
        <v>68700</v>
      </c>
      <c r="E54" s="313"/>
      <c r="F54" s="313"/>
      <c r="H54" s="14">
        <v>68700</v>
      </c>
      <c r="I54" s="12"/>
      <c r="J54" s="46"/>
      <c r="K54" s="46"/>
      <c r="L54" s="46"/>
      <c r="M54" s="12"/>
      <c r="N54" s="50"/>
      <c r="O54" s="12"/>
      <c r="P54" s="12"/>
      <c r="Q54" s="12"/>
      <c r="R54" s="12"/>
      <c r="S54" s="12"/>
    </row>
    <row r="55" spans="1:19" s="13" customFormat="1" ht="99.75" customHeight="1">
      <c r="A55" s="337" t="s">
        <v>925</v>
      </c>
      <c r="B55" s="338" t="s">
        <v>778</v>
      </c>
      <c r="C55" s="239">
        <f t="shared" si="15"/>
        <v>300</v>
      </c>
      <c r="D55" s="316">
        <f t="shared" si="16"/>
        <v>300</v>
      </c>
      <c r="E55" s="313"/>
      <c r="F55" s="313"/>
      <c r="H55" s="14">
        <v>300</v>
      </c>
      <c r="I55" s="12"/>
      <c r="J55" s="46"/>
      <c r="K55" s="46"/>
      <c r="L55" s="46"/>
      <c r="M55" s="12"/>
      <c r="N55" s="50"/>
      <c r="O55" s="12"/>
      <c r="P55" s="12"/>
      <c r="Q55" s="12"/>
      <c r="R55" s="12"/>
      <c r="S55" s="12"/>
    </row>
    <row r="56" spans="1:19" s="13" customFormat="1" ht="51.75" customHeight="1">
      <c r="A56" s="334" t="s">
        <v>864</v>
      </c>
      <c r="B56" s="335" t="s">
        <v>966</v>
      </c>
      <c r="C56" s="312">
        <f t="shared" si="15"/>
        <v>218400</v>
      </c>
      <c r="D56" s="313">
        <f t="shared" si="16"/>
        <v>218400</v>
      </c>
      <c r="E56" s="313">
        <f>E57</f>
        <v>0</v>
      </c>
      <c r="F56" s="313">
        <f>F57</f>
        <v>0</v>
      </c>
      <c r="H56" s="12">
        <f>H57</f>
        <v>218400</v>
      </c>
      <c r="I56" s="12">
        <f aca="true" t="shared" si="18" ref="I56:S56">I57</f>
        <v>0</v>
      </c>
      <c r="J56" s="46">
        <f t="shared" si="18"/>
        <v>0</v>
      </c>
      <c r="K56" s="12">
        <f t="shared" si="18"/>
        <v>0</v>
      </c>
      <c r="L56" s="12">
        <f t="shared" si="18"/>
        <v>0</v>
      </c>
      <c r="M56" s="12">
        <f t="shared" si="18"/>
        <v>0</v>
      </c>
      <c r="N56" s="12">
        <f t="shared" si="18"/>
        <v>0</v>
      </c>
      <c r="O56" s="12">
        <f t="shared" si="18"/>
        <v>0</v>
      </c>
      <c r="P56" s="12">
        <f t="shared" si="18"/>
        <v>0</v>
      </c>
      <c r="Q56" s="12">
        <f t="shared" si="18"/>
        <v>0</v>
      </c>
      <c r="R56" s="12">
        <f t="shared" si="18"/>
        <v>0</v>
      </c>
      <c r="S56" s="12">
        <f t="shared" si="18"/>
        <v>0</v>
      </c>
    </row>
    <row r="57" spans="1:19" s="17" customFormat="1" ht="54" customHeight="1">
      <c r="A57" s="337" t="s">
        <v>477</v>
      </c>
      <c r="B57" s="338" t="s">
        <v>575</v>
      </c>
      <c r="C57" s="239">
        <f t="shared" si="15"/>
        <v>218400</v>
      </c>
      <c r="D57" s="316">
        <f t="shared" si="16"/>
        <v>218400</v>
      </c>
      <c r="E57" s="316"/>
      <c r="F57" s="316"/>
      <c r="H57" s="16">
        <v>218400</v>
      </c>
      <c r="I57" s="16"/>
      <c r="J57" s="80"/>
      <c r="K57" s="80"/>
      <c r="L57" s="80"/>
      <c r="M57" s="16"/>
      <c r="N57" s="80"/>
      <c r="O57" s="16"/>
      <c r="P57" s="16"/>
      <c r="Q57" s="16"/>
      <c r="R57" s="16"/>
      <c r="S57" s="16"/>
    </row>
    <row r="58" spans="1:19" s="13" customFormat="1" ht="16.5" hidden="1">
      <c r="A58" s="334" t="s">
        <v>865</v>
      </c>
      <c r="B58" s="335" t="s">
        <v>494</v>
      </c>
      <c r="C58" s="311"/>
      <c r="D58" s="313">
        <f t="shared" si="16"/>
        <v>0</v>
      </c>
      <c r="E58" s="313">
        <f>E59</f>
        <v>0</v>
      </c>
      <c r="F58" s="313">
        <f>F59</f>
        <v>0</v>
      </c>
      <c r="H58" s="12">
        <f aca="true" t="shared" si="19" ref="H58:S59">H59</f>
        <v>0</v>
      </c>
      <c r="I58" s="12">
        <f t="shared" si="19"/>
        <v>0</v>
      </c>
      <c r="J58" s="46">
        <f t="shared" si="19"/>
        <v>0</v>
      </c>
      <c r="K58" s="46">
        <f t="shared" si="19"/>
        <v>0</v>
      </c>
      <c r="L58" s="46">
        <f t="shared" si="19"/>
        <v>0</v>
      </c>
      <c r="M58" s="12">
        <f t="shared" si="19"/>
        <v>0</v>
      </c>
      <c r="N58" s="46">
        <f t="shared" si="19"/>
        <v>0</v>
      </c>
      <c r="O58" s="12">
        <f t="shared" si="19"/>
        <v>0</v>
      </c>
      <c r="P58" s="12">
        <f t="shared" si="19"/>
        <v>0</v>
      </c>
      <c r="Q58" s="12">
        <f t="shared" si="19"/>
        <v>0</v>
      </c>
      <c r="R58" s="12">
        <f t="shared" si="19"/>
        <v>0</v>
      </c>
      <c r="S58" s="12">
        <f t="shared" si="19"/>
        <v>0</v>
      </c>
    </row>
    <row r="59" spans="1:19" s="15" customFormat="1" ht="16.5" hidden="1">
      <c r="A59" s="336" t="s">
        <v>866</v>
      </c>
      <c r="B59" s="333" t="s">
        <v>468</v>
      </c>
      <c r="C59" s="322"/>
      <c r="D59" s="316">
        <f t="shared" si="16"/>
        <v>0</v>
      </c>
      <c r="E59" s="316">
        <f>E60</f>
        <v>0</v>
      </c>
      <c r="F59" s="316">
        <f>F60</f>
        <v>0</v>
      </c>
      <c r="H59" s="14">
        <f t="shared" si="19"/>
        <v>0</v>
      </c>
      <c r="I59" s="14">
        <f t="shared" si="19"/>
        <v>0</v>
      </c>
      <c r="J59" s="50">
        <f t="shared" si="19"/>
        <v>0</v>
      </c>
      <c r="K59" s="50">
        <f t="shared" si="19"/>
        <v>0</v>
      </c>
      <c r="L59" s="50">
        <f t="shared" si="19"/>
        <v>0</v>
      </c>
      <c r="M59" s="14">
        <f t="shared" si="19"/>
        <v>0</v>
      </c>
      <c r="N59" s="50">
        <f t="shared" si="19"/>
        <v>0</v>
      </c>
      <c r="O59" s="14">
        <f t="shared" si="19"/>
        <v>0</v>
      </c>
      <c r="P59" s="14">
        <f t="shared" si="19"/>
        <v>0</v>
      </c>
      <c r="Q59" s="14">
        <f t="shared" si="19"/>
        <v>0</v>
      </c>
      <c r="R59" s="14">
        <f t="shared" si="19"/>
        <v>0</v>
      </c>
      <c r="S59" s="14">
        <f t="shared" si="19"/>
        <v>0</v>
      </c>
    </row>
    <row r="60" spans="1:19" s="17" customFormat="1" ht="16.5" hidden="1">
      <c r="A60" s="337" t="s">
        <v>514</v>
      </c>
      <c r="B60" s="338" t="s">
        <v>468</v>
      </c>
      <c r="C60" s="321"/>
      <c r="D60" s="316">
        <f t="shared" si="16"/>
        <v>0</v>
      </c>
      <c r="E60" s="316"/>
      <c r="F60" s="316"/>
      <c r="H60" s="16"/>
      <c r="I60" s="16"/>
      <c r="J60" s="80"/>
      <c r="K60" s="80"/>
      <c r="L60" s="80"/>
      <c r="M60" s="16"/>
      <c r="N60" s="80"/>
      <c r="O60" s="16"/>
      <c r="P60" s="16"/>
      <c r="Q60" s="16"/>
      <c r="R60" s="16"/>
      <c r="S60" s="16"/>
    </row>
    <row r="61" spans="1:19" s="13" customFormat="1" ht="23.25" customHeight="1">
      <c r="A61" s="334" t="s">
        <v>867</v>
      </c>
      <c r="B61" s="335" t="s">
        <v>469</v>
      </c>
      <c r="C61" s="312">
        <f aca="true" t="shared" si="20" ref="C61:C79">D61+E61</f>
        <v>115108</v>
      </c>
      <c r="D61" s="313">
        <f t="shared" si="16"/>
        <v>115108</v>
      </c>
      <c r="E61" s="313">
        <f>E62</f>
        <v>0</v>
      </c>
      <c r="F61" s="313">
        <f>F62</f>
        <v>0</v>
      </c>
      <c r="H61" s="12">
        <f aca="true" t="shared" si="21" ref="H61:S62">H62</f>
        <v>60000</v>
      </c>
      <c r="I61" s="12">
        <f t="shared" si="21"/>
        <v>0</v>
      </c>
      <c r="J61" s="46">
        <f t="shared" si="21"/>
        <v>0</v>
      </c>
      <c r="K61" s="12">
        <f t="shared" si="21"/>
        <v>55108</v>
      </c>
      <c r="L61" s="12">
        <f t="shared" si="21"/>
        <v>0</v>
      </c>
      <c r="M61" s="12">
        <f t="shared" si="21"/>
        <v>0</v>
      </c>
      <c r="N61" s="12">
        <f t="shared" si="21"/>
        <v>0</v>
      </c>
      <c r="O61" s="12">
        <f t="shared" si="21"/>
        <v>0</v>
      </c>
      <c r="P61" s="12">
        <f t="shared" si="21"/>
        <v>0</v>
      </c>
      <c r="Q61" s="12">
        <f t="shared" si="21"/>
        <v>0</v>
      </c>
      <c r="R61" s="12">
        <f t="shared" si="21"/>
        <v>0</v>
      </c>
      <c r="S61" s="12">
        <f t="shared" si="21"/>
        <v>0</v>
      </c>
    </row>
    <row r="62" spans="1:19" s="13" customFormat="1" ht="24" customHeight="1">
      <c r="A62" s="334" t="s">
        <v>479</v>
      </c>
      <c r="B62" s="335" t="s">
        <v>22</v>
      </c>
      <c r="C62" s="312">
        <f t="shared" si="20"/>
        <v>115108</v>
      </c>
      <c r="D62" s="313">
        <f>SUM(H62:S62)</f>
        <v>115108</v>
      </c>
      <c r="E62" s="313">
        <f>E63</f>
        <v>0</v>
      </c>
      <c r="F62" s="313">
        <f>F63</f>
        <v>0</v>
      </c>
      <c r="H62" s="12">
        <f t="shared" si="21"/>
        <v>60000</v>
      </c>
      <c r="I62" s="12">
        <f t="shared" si="21"/>
        <v>0</v>
      </c>
      <c r="J62" s="46">
        <f t="shared" si="21"/>
        <v>0</v>
      </c>
      <c r="K62" s="12">
        <f t="shared" si="21"/>
        <v>55108</v>
      </c>
      <c r="L62" s="12">
        <f t="shared" si="21"/>
        <v>0</v>
      </c>
      <c r="M62" s="12">
        <f t="shared" si="21"/>
        <v>0</v>
      </c>
      <c r="N62" s="12">
        <f t="shared" si="21"/>
        <v>0</v>
      </c>
      <c r="O62" s="12">
        <f t="shared" si="21"/>
        <v>0</v>
      </c>
      <c r="P62" s="12">
        <f t="shared" si="21"/>
        <v>0</v>
      </c>
      <c r="Q62" s="12">
        <f t="shared" si="21"/>
        <v>0</v>
      </c>
      <c r="R62" s="12">
        <f t="shared" si="21"/>
        <v>0</v>
      </c>
      <c r="S62" s="12">
        <f t="shared" si="21"/>
        <v>0</v>
      </c>
    </row>
    <row r="63" spans="1:19" s="15" customFormat="1" ht="24.75" customHeight="1">
      <c r="A63" s="337" t="s">
        <v>20</v>
      </c>
      <c r="B63" s="338" t="s">
        <v>22</v>
      </c>
      <c r="C63" s="318">
        <f t="shared" si="20"/>
        <v>115108</v>
      </c>
      <c r="D63" s="316">
        <f>SUM(H63:S63)</f>
        <v>115108</v>
      </c>
      <c r="E63" s="316"/>
      <c r="F63" s="316"/>
      <c r="H63" s="16">
        <v>60000</v>
      </c>
      <c r="I63" s="16"/>
      <c r="J63" s="80"/>
      <c r="K63" s="80">
        <v>55108</v>
      </c>
      <c r="L63" s="80"/>
      <c r="M63" s="16"/>
      <c r="N63" s="80"/>
      <c r="O63" s="16"/>
      <c r="P63" s="16"/>
      <c r="Q63" s="16"/>
      <c r="R63" s="16"/>
      <c r="S63" s="16"/>
    </row>
    <row r="64" spans="1:19" s="13" customFormat="1" ht="24.75" customHeight="1">
      <c r="A64" s="334" t="s">
        <v>21</v>
      </c>
      <c r="B64" s="335" t="s">
        <v>850</v>
      </c>
      <c r="C64" s="312">
        <f t="shared" si="20"/>
        <v>1409307</v>
      </c>
      <c r="D64" s="313"/>
      <c r="E64" s="313">
        <f>E65</f>
        <v>1409307</v>
      </c>
      <c r="F64" s="313">
        <f>F65</f>
        <v>0</v>
      </c>
      <c r="H64" s="12"/>
      <c r="I64" s="12">
        <f aca="true" t="shared" si="22" ref="I64:S64">I65</f>
        <v>0</v>
      </c>
      <c r="J64" s="46">
        <f t="shared" si="22"/>
        <v>0</v>
      </c>
      <c r="K64" s="46">
        <f t="shared" si="22"/>
        <v>0</v>
      </c>
      <c r="L64" s="46">
        <f t="shared" si="22"/>
        <v>0</v>
      </c>
      <c r="M64" s="12">
        <f t="shared" si="22"/>
        <v>0</v>
      </c>
      <c r="N64" s="46">
        <f t="shared" si="22"/>
        <v>0</v>
      </c>
      <c r="O64" s="12">
        <f t="shared" si="22"/>
        <v>0</v>
      </c>
      <c r="P64" s="12">
        <f t="shared" si="22"/>
        <v>0</v>
      </c>
      <c r="Q64" s="12">
        <f t="shared" si="22"/>
        <v>0</v>
      </c>
      <c r="R64" s="12">
        <f t="shared" si="22"/>
        <v>0</v>
      </c>
      <c r="S64" s="12">
        <f t="shared" si="22"/>
        <v>0</v>
      </c>
    </row>
    <row r="65" spans="1:19" s="13" customFormat="1" ht="39" customHeight="1">
      <c r="A65" s="334">
        <v>25010000</v>
      </c>
      <c r="B65" s="335" t="s">
        <v>492</v>
      </c>
      <c r="C65" s="312">
        <f t="shared" si="20"/>
        <v>1409307</v>
      </c>
      <c r="D65" s="313"/>
      <c r="E65" s="313">
        <f>SUM(E66:E69)</f>
        <v>1409307</v>
      </c>
      <c r="F65" s="313">
        <f>SUM(F66:F69)</f>
        <v>0</v>
      </c>
      <c r="H65" s="12"/>
      <c r="I65" s="12">
        <f aca="true" t="shared" si="23" ref="I65:R65">SUM(I66:I69)</f>
        <v>0</v>
      </c>
      <c r="J65" s="46">
        <f t="shared" si="23"/>
        <v>0</v>
      </c>
      <c r="K65" s="46">
        <f t="shared" si="23"/>
        <v>0</v>
      </c>
      <c r="L65" s="46">
        <f t="shared" si="23"/>
        <v>0</v>
      </c>
      <c r="M65" s="12">
        <f t="shared" si="23"/>
        <v>0</v>
      </c>
      <c r="N65" s="46">
        <f t="shared" si="23"/>
        <v>0</v>
      </c>
      <c r="O65" s="12">
        <f t="shared" si="23"/>
        <v>0</v>
      </c>
      <c r="P65" s="12">
        <f t="shared" si="23"/>
        <v>0</v>
      </c>
      <c r="Q65" s="12">
        <f t="shared" si="23"/>
        <v>0</v>
      </c>
      <c r="R65" s="12">
        <f t="shared" si="23"/>
        <v>0</v>
      </c>
      <c r="S65" s="12">
        <f>SUM(S66:S69)</f>
        <v>0</v>
      </c>
    </row>
    <row r="66" spans="1:19" s="17" customFormat="1" ht="37.5" customHeight="1">
      <c r="A66" s="337">
        <v>25010100</v>
      </c>
      <c r="B66" s="338" t="s">
        <v>576</v>
      </c>
      <c r="C66" s="318">
        <f t="shared" si="20"/>
        <v>1256145</v>
      </c>
      <c r="D66" s="316"/>
      <c r="E66" s="316">
        <v>1256145</v>
      </c>
      <c r="F66" s="316"/>
      <c r="H66" s="16"/>
      <c r="I66" s="16"/>
      <c r="J66" s="80"/>
      <c r="K66" s="80"/>
      <c r="L66" s="80"/>
      <c r="M66" s="16"/>
      <c r="N66" s="80"/>
      <c r="O66" s="16"/>
      <c r="P66" s="16"/>
      <c r="Q66" s="16"/>
      <c r="R66" s="16"/>
      <c r="S66" s="16"/>
    </row>
    <row r="67" spans="1:19" s="17" customFormat="1" ht="33" customHeight="1">
      <c r="A67" s="337">
        <v>25010200</v>
      </c>
      <c r="B67" s="338" t="s">
        <v>992</v>
      </c>
      <c r="C67" s="318">
        <f t="shared" si="20"/>
        <v>66000</v>
      </c>
      <c r="D67" s="316"/>
      <c r="E67" s="316">
        <v>66000</v>
      </c>
      <c r="F67" s="316"/>
      <c r="H67" s="16"/>
      <c r="I67" s="16"/>
      <c r="J67" s="80"/>
      <c r="K67" s="80"/>
      <c r="L67" s="80"/>
      <c r="M67" s="16"/>
      <c r="N67" s="80"/>
      <c r="O67" s="16"/>
      <c r="P67" s="16"/>
      <c r="Q67" s="16"/>
      <c r="R67" s="16"/>
      <c r="S67" s="16"/>
    </row>
    <row r="68" spans="1:19" s="17" customFormat="1" ht="22.5" customHeight="1">
      <c r="A68" s="337">
        <v>25010300</v>
      </c>
      <c r="B68" s="338" t="s">
        <v>915</v>
      </c>
      <c r="C68" s="318">
        <f t="shared" si="20"/>
        <v>51662</v>
      </c>
      <c r="D68" s="316"/>
      <c r="E68" s="316">
        <f>131662-80000</f>
        <v>51662</v>
      </c>
      <c r="F68" s="345"/>
      <c r="H68" s="16"/>
      <c r="I68" s="16"/>
      <c r="J68" s="80"/>
      <c r="K68" s="80"/>
      <c r="L68" s="80"/>
      <c r="M68" s="16"/>
      <c r="N68" s="80"/>
      <c r="O68" s="16"/>
      <c r="P68" s="16"/>
      <c r="Q68" s="16"/>
      <c r="R68" s="16"/>
      <c r="S68" s="16"/>
    </row>
    <row r="69" spans="1:19" s="17" customFormat="1" ht="51.75" customHeight="1">
      <c r="A69" s="337">
        <v>25010400</v>
      </c>
      <c r="B69" s="338" t="s">
        <v>801</v>
      </c>
      <c r="C69" s="318">
        <f t="shared" si="20"/>
        <v>35500</v>
      </c>
      <c r="D69" s="750"/>
      <c r="E69" s="750">
        <v>35500</v>
      </c>
      <c r="F69" s="750"/>
      <c r="H69" s="16"/>
      <c r="I69" s="16"/>
      <c r="J69" s="80"/>
      <c r="K69" s="80"/>
      <c r="L69" s="80"/>
      <c r="M69" s="16"/>
      <c r="N69" s="80"/>
      <c r="O69" s="16"/>
      <c r="P69" s="16"/>
      <c r="Q69" s="16"/>
      <c r="R69" s="16"/>
      <c r="S69" s="16"/>
    </row>
    <row r="70" spans="1:19" s="13" customFormat="1" ht="30" customHeight="1" hidden="1">
      <c r="A70" s="334" t="s">
        <v>786</v>
      </c>
      <c r="B70" s="335" t="s">
        <v>789</v>
      </c>
      <c r="C70" s="312">
        <f t="shared" si="20"/>
        <v>0</v>
      </c>
      <c r="D70" s="751">
        <f aca="true" t="shared" si="24" ref="D70:D83">SUM(H70:S70)</f>
        <v>0</v>
      </c>
      <c r="E70" s="751">
        <f>E75+E76</f>
        <v>0</v>
      </c>
      <c r="F70" s="751">
        <f>F75</f>
        <v>0</v>
      </c>
      <c r="H70" s="12">
        <f>H71</f>
        <v>0</v>
      </c>
      <c r="I70" s="12"/>
      <c r="J70" s="46">
        <f>J71</f>
        <v>0</v>
      </c>
      <c r="K70" s="46">
        <f>K71</f>
        <v>0</v>
      </c>
      <c r="L70" s="46">
        <f>L71</f>
        <v>0</v>
      </c>
      <c r="M70" s="12">
        <f aca="true" t="shared" si="25" ref="M70:S70">M75</f>
        <v>0</v>
      </c>
      <c r="N70" s="46">
        <f t="shared" si="25"/>
        <v>0</v>
      </c>
      <c r="O70" s="12">
        <f t="shared" si="25"/>
        <v>0</v>
      </c>
      <c r="P70" s="12">
        <f t="shared" si="25"/>
        <v>0</v>
      </c>
      <c r="Q70" s="12">
        <f t="shared" si="25"/>
        <v>0</v>
      </c>
      <c r="R70" s="12">
        <f t="shared" si="25"/>
        <v>0</v>
      </c>
      <c r="S70" s="12">
        <f t="shared" si="25"/>
        <v>0</v>
      </c>
    </row>
    <row r="71" spans="1:19" s="13" customFormat="1" ht="30" customHeight="1" hidden="1">
      <c r="A71" s="334" t="s">
        <v>967</v>
      </c>
      <c r="B71" s="335" t="s">
        <v>968</v>
      </c>
      <c r="C71" s="312">
        <f t="shared" si="20"/>
        <v>0</v>
      </c>
      <c r="D71" s="751">
        <f t="shared" si="24"/>
        <v>0</v>
      </c>
      <c r="E71" s="751">
        <f>E75+E78</f>
        <v>0</v>
      </c>
      <c r="F71" s="751">
        <f>F75</f>
        <v>0</v>
      </c>
      <c r="H71" s="12">
        <f>H73+H74</f>
        <v>0</v>
      </c>
      <c r="I71" s="12"/>
      <c r="J71" s="46">
        <f>J73+J74</f>
        <v>0</v>
      </c>
      <c r="K71" s="46"/>
      <c r="L71" s="46"/>
      <c r="M71" s="12"/>
      <c r="N71" s="46"/>
      <c r="O71" s="12"/>
      <c r="P71" s="12"/>
      <c r="Q71" s="12"/>
      <c r="R71" s="12"/>
      <c r="S71" s="12"/>
    </row>
    <row r="72" spans="1:19" s="13" customFormat="1" ht="84.75" customHeight="1" hidden="1">
      <c r="A72" s="334" t="s">
        <v>969</v>
      </c>
      <c r="B72" s="335" t="s">
        <v>971</v>
      </c>
      <c r="C72" s="312">
        <f t="shared" si="20"/>
        <v>0</v>
      </c>
      <c r="D72" s="751">
        <f t="shared" si="24"/>
        <v>0</v>
      </c>
      <c r="E72" s="751"/>
      <c r="F72" s="751"/>
      <c r="H72" s="12">
        <f>H73</f>
        <v>0</v>
      </c>
      <c r="I72" s="12">
        <f>I73</f>
        <v>0</v>
      </c>
      <c r="J72" s="46">
        <f>J73</f>
        <v>0</v>
      </c>
      <c r="K72" s="46">
        <f>K73</f>
        <v>0</v>
      </c>
      <c r="L72" s="50">
        <f>L73</f>
        <v>0</v>
      </c>
      <c r="M72" s="12"/>
      <c r="N72" s="46"/>
      <c r="O72" s="12"/>
      <c r="P72" s="12"/>
      <c r="Q72" s="12"/>
      <c r="R72" s="12"/>
      <c r="S72" s="12"/>
    </row>
    <row r="73" spans="1:19" s="13" customFormat="1" ht="30" customHeight="1" hidden="1">
      <c r="A73" s="337" t="s">
        <v>846</v>
      </c>
      <c r="B73" s="338" t="s">
        <v>26</v>
      </c>
      <c r="C73" s="318">
        <f t="shared" si="20"/>
        <v>0</v>
      </c>
      <c r="D73" s="750">
        <f t="shared" si="24"/>
        <v>0</v>
      </c>
      <c r="E73" s="750"/>
      <c r="F73" s="751"/>
      <c r="H73" s="16"/>
      <c r="I73" s="12"/>
      <c r="J73" s="46"/>
      <c r="K73" s="46"/>
      <c r="L73" s="46"/>
      <c r="M73" s="12"/>
      <c r="N73" s="46"/>
      <c r="O73" s="12"/>
      <c r="P73" s="12"/>
      <c r="Q73" s="12"/>
      <c r="R73" s="12"/>
      <c r="S73" s="12"/>
    </row>
    <row r="74" spans="1:19" s="13" customFormat="1" ht="30" customHeight="1" hidden="1">
      <c r="A74" s="337" t="s">
        <v>999</v>
      </c>
      <c r="B74" s="338" t="s">
        <v>263</v>
      </c>
      <c r="C74" s="323">
        <f t="shared" si="20"/>
        <v>0</v>
      </c>
      <c r="D74" s="750">
        <f t="shared" si="24"/>
        <v>0</v>
      </c>
      <c r="E74" s="752"/>
      <c r="F74" s="753"/>
      <c r="H74" s="16"/>
      <c r="I74" s="12"/>
      <c r="J74" s="46"/>
      <c r="K74" s="50"/>
      <c r="L74" s="46"/>
      <c r="M74" s="12"/>
      <c r="N74" s="46"/>
      <c r="O74" s="12"/>
      <c r="P74" s="12"/>
      <c r="Q74" s="12"/>
      <c r="R74" s="12"/>
      <c r="S74" s="12"/>
    </row>
    <row r="75" spans="1:19" s="15" customFormat="1" ht="50.25" customHeight="1" hidden="1">
      <c r="A75" s="337" t="s">
        <v>787</v>
      </c>
      <c r="B75" s="338" t="s">
        <v>788</v>
      </c>
      <c r="C75" s="323">
        <f t="shared" si="20"/>
        <v>0</v>
      </c>
      <c r="D75" s="750">
        <f t="shared" si="24"/>
        <v>0</v>
      </c>
      <c r="E75" s="750"/>
      <c r="F75" s="750"/>
      <c r="H75" s="16"/>
      <c r="I75" s="16"/>
      <c r="J75" s="80"/>
      <c r="K75" s="80"/>
      <c r="L75" s="80"/>
      <c r="M75" s="16"/>
      <c r="N75" s="80"/>
      <c r="O75" s="16"/>
      <c r="P75" s="16"/>
      <c r="Q75" s="16"/>
      <c r="R75" s="16"/>
      <c r="S75" s="16"/>
    </row>
    <row r="76" spans="1:19" s="15" customFormat="1" ht="30" customHeight="1" hidden="1">
      <c r="A76" s="334" t="s">
        <v>584</v>
      </c>
      <c r="B76" s="335" t="s">
        <v>790</v>
      </c>
      <c r="C76" s="323">
        <f t="shared" si="20"/>
        <v>0</v>
      </c>
      <c r="D76" s="751">
        <f>D78</f>
        <v>0</v>
      </c>
      <c r="E76" s="751">
        <f>E78</f>
        <v>0</v>
      </c>
      <c r="F76" s="751">
        <f>F78</f>
        <v>0</v>
      </c>
      <c r="H76" s="16"/>
      <c r="I76" s="16"/>
      <c r="J76" s="80"/>
      <c r="K76" s="80"/>
      <c r="L76" s="80"/>
      <c r="M76" s="16"/>
      <c r="N76" s="80"/>
      <c r="O76" s="16"/>
      <c r="P76" s="16"/>
      <c r="Q76" s="16"/>
      <c r="R76" s="16"/>
      <c r="S76" s="16"/>
    </row>
    <row r="77" spans="1:19" s="15" customFormat="1" ht="30" customHeight="1" hidden="1">
      <c r="A77" s="334" t="s">
        <v>791</v>
      </c>
      <c r="B77" s="335" t="s">
        <v>792</v>
      </c>
      <c r="C77" s="323">
        <f t="shared" si="20"/>
        <v>0</v>
      </c>
      <c r="D77" s="751">
        <f>D78</f>
        <v>0</v>
      </c>
      <c r="E77" s="751">
        <f>E78</f>
        <v>0</v>
      </c>
      <c r="F77" s="751">
        <f>F78</f>
        <v>0</v>
      </c>
      <c r="H77" s="16"/>
      <c r="I77" s="16"/>
      <c r="J77" s="80"/>
      <c r="K77" s="80"/>
      <c r="L77" s="80"/>
      <c r="M77" s="16"/>
      <c r="N77" s="80"/>
      <c r="O77" s="16"/>
      <c r="P77" s="16"/>
      <c r="Q77" s="16"/>
      <c r="R77" s="16"/>
      <c r="S77" s="16"/>
    </row>
    <row r="78" spans="1:19" s="15" customFormat="1" ht="30.75" customHeight="1" hidden="1">
      <c r="A78" s="337" t="s">
        <v>829</v>
      </c>
      <c r="B78" s="338" t="s">
        <v>170</v>
      </c>
      <c r="C78" s="323">
        <f t="shared" si="20"/>
        <v>0</v>
      </c>
      <c r="D78" s="750"/>
      <c r="E78" s="750"/>
      <c r="F78" s="750"/>
      <c r="H78" s="16"/>
      <c r="I78" s="16"/>
      <c r="J78" s="80"/>
      <c r="K78" s="80"/>
      <c r="L78" s="80"/>
      <c r="M78" s="16"/>
      <c r="N78" s="80"/>
      <c r="O78" s="16"/>
      <c r="P78" s="16"/>
      <c r="Q78" s="16"/>
      <c r="R78" s="16"/>
      <c r="S78" s="16"/>
    </row>
    <row r="79" spans="1:19" s="406" customFormat="1" ht="31.5" customHeight="1">
      <c r="A79" s="404"/>
      <c r="B79" s="405" t="s">
        <v>981</v>
      </c>
      <c r="C79" s="478">
        <f t="shared" si="20"/>
        <v>94569066</v>
      </c>
      <c r="D79" s="751">
        <f t="shared" si="24"/>
        <v>93159759</v>
      </c>
      <c r="E79" s="751">
        <f>E10+E41+E70</f>
        <v>1409307</v>
      </c>
      <c r="F79" s="751">
        <f>F10+F41+F70+F76</f>
        <v>0</v>
      </c>
      <c r="H79" s="407">
        <f aca="true" t="shared" si="26" ref="H79:S79">H10+H41+H70</f>
        <v>85642300</v>
      </c>
      <c r="I79" s="407">
        <f t="shared" si="26"/>
        <v>0</v>
      </c>
      <c r="J79" s="646">
        <f>J10+J41</f>
        <v>3740763</v>
      </c>
      <c r="K79" s="407">
        <f t="shared" si="26"/>
        <v>3776696</v>
      </c>
      <c r="L79" s="407">
        <f t="shared" si="26"/>
        <v>0</v>
      </c>
      <c r="M79" s="407">
        <f t="shared" si="26"/>
        <v>0</v>
      </c>
      <c r="N79" s="407">
        <f t="shared" si="26"/>
        <v>0</v>
      </c>
      <c r="O79" s="407">
        <f t="shared" si="26"/>
        <v>0</v>
      </c>
      <c r="P79" s="407">
        <f t="shared" si="26"/>
        <v>0</v>
      </c>
      <c r="Q79" s="407">
        <f t="shared" si="26"/>
        <v>0</v>
      </c>
      <c r="R79" s="407">
        <f t="shared" si="26"/>
        <v>0</v>
      </c>
      <c r="S79" s="407">
        <f t="shared" si="26"/>
        <v>0</v>
      </c>
    </row>
    <row r="80" spans="1:19" s="13" customFormat="1" ht="27" customHeight="1">
      <c r="A80" s="334" t="s">
        <v>868</v>
      </c>
      <c r="B80" s="335" t="s">
        <v>832</v>
      </c>
      <c r="C80" s="324">
        <f>D80+E80</f>
        <v>319454635.05</v>
      </c>
      <c r="D80" s="751">
        <f t="shared" si="24"/>
        <v>314489090.05</v>
      </c>
      <c r="E80" s="751">
        <f>E81</f>
        <v>4965545</v>
      </c>
      <c r="F80" s="751">
        <f>F81</f>
        <v>4732045</v>
      </c>
      <c r="H80" s="12">
        <f>H81</f>
        <v>333017355</v>
      </c>
      <c r="I80" s="12">
        <f>I81</f>
        <v>113821</v>
      </c>
      <c r="J80" s="46">
        <f>J81</f>
        <v>430393</v>
      </c>
      <c r="K80" s="12">
        <f aca="true" t="shared" si="27" ref="K80:S80">K81</f>
        <v>-19072478.95</v>
      </c>
      <c r="L80" s="12">
        <f t="shared" si="27"/>
        <v>0</v>
      </c>
      <c r="M80" s="12">
        <f t="shared" si="27"/>
        <v>0</v>
      </c>
      <c r="N80" s="12">
        <f t="shared" si="27"/>
        <v>0</v>
      </c>
      <c r="O80" s="12">
        <f t="shared" si="27"/>
        <v>0</v>
      </c>
      <c r="P80" s="12">
        <f t="shared" si="27"/>
        <v>0</v>
      </c>
      <c r="Q80" s="12">
        <f t="shared" si="27"/>
        <v>0</v>
      </c>
      <c r="R80" s="12">
        <f t="shared" si="27"/>
        <v>0</v>
      </c>
      <c r="S80" s="12">
        <f t="shared" si="27"/>
        <v>0</v>
      </c>
    </row>
    <row r="81" spans="1:19" s="13" customFormat="1" ht="27" customHeight="1">
      <c r="A81" s="334" t="s">
        <v>872</v>
      </c>
      <c r="B81" s="335" t="s">
        <v>852</v>
      </c>
      <c r="C81" s="324">
        <f>D81+E81</f>
        <v>319454635.05</v>
      </c>
      <c r="D81" s="751">
        <f t="shared" si="24"/>
        <v>314489090.05</v>
      </c>
      <c r="E81" s="751">
        <f>E85+E96+E99+E101</f>
        <v>4965545</v>
      </c>
      <c r="F81" s="751">
        <f>F85+F96+F99+F101</f>
        <v>4732045</v>
      </c>
      <c r="H81" s="12">
        <f>H82+H85+H96+H101+H99</f>
        <v>333017355</v>
      </c>
      <c r="I81" s="12">
        <f>I82+I85+I96+I101+I99</f>
        <v>113821</v>
      </c>
      <c r="J81" s="46">
        <f>J82+J85+J96+J101+J99</f>
        <v>430393</v>
      </c>
      <c r="K81" s="46">
        <f>K85+K96+K99+K101</f>
        <v>-19072478.95</v>
      </c>
      <c r="L81" s="46">
        <f>L85+L96+L99+L101</f>
        <v>0</v>
      </c>
      <c r="M81" s="46">
        <f>M85+M96+M99+M101</f>
        <v>0</v>
      </c>
      <c r="N81" s="46">
        <f aca="true" t="shared" si="28" ref="N81:S81">N82+N85+N96</f>
        <v>0</v>
      </c>
      <c r="O81" s="12">
        <f t="shared" si="28"/>
        <v>0</v>
      </c>
      <c r="P81" s="12">
        <f t="shared" si="28"/>
        <v>0</v>
      </c>
      <c r="Q81" s="12">
        <f t="shared" si="28"/>
        <v>0</v>
      </c>
      <c r="R81" s="12">
        <f t="shared" si="28"/>
        <v>0</v>
      </c>
      <c r="S81" s="12">
        <f t="shared" si="28"/>
        <v>0</v>
      </c>
    </row>
    <row r="82" spans="1:19" s="15" customFormat="1" ht="30" customHeight="1" hidden="1">
      <c r="A82" s="334" t="s">
        <v>869</v>
      </c>
      <c r="B82" s="335" t="s">
        <v>478</v>
      </c>
      <c r="C82" s="314"/>
      <c r="D82" s="750">
        <f t="shared" si="24"/>
        <v>0</v>
      </c>
      <c r="E82" s="750">
        <f>SUM(E83:E84)</f>
        <v>0</v>
      </c>
      <c r="F82" s="750">
        <f>SUM(F83:F84)</f>
        <v>0</v>
      </c>
      <c r="H82" s="14">
        <f aca="true" t="shared" si="29" ref="H82:R82">SUM(H83:H84)</f>
        <v>0</v>
      </c>
      <c r="I82" s="14">
        <f t="shared" si="29"/>
        <v>0</v>
      </c>
      <c r="J82" s="50">
        <f t="shared" si="29"/>
        <v>0</v>
      </c>
      <c r="K82" s="50">
        <f t="shared" si="29"/>
        <v>0</v>
      </c>
      <c r="L82" s="50">
        <f t="shared" si="29"/>
        <v>0</v>
      </c>
      <c r="M82" s="14">
        <f t="shared" si="29"/>
        <v>0</v>
      </c>
      <c r="N82" s="50">
        <f t="shared" si="29"/>
        <v>0</v>
      </c>
      <c r="O82" s="14">
        <f t="shared" si="29"/>
        <v>0</v>
      </c>
      <c r="P82" s="14">
        <f t="shared" si="29"/>
        <v>0</v>
      </c>
      <c r="Q82" s="14">
        <f t="shared" si="29"/>
        <v>0</v>
      </c>
      <c r="R82" s="14">
        <f t="shared" si="29"/>
        <v>0</v>
      </c>
      <c r="S82" s="14">
        <f>SUM(S83:S84)</f>
        <v>0</v>
      </c>
    </row>
    <row r="83" spans="1:19" s="15" customFormat="1" ht="16.5" hidden="1">
      <c r="A83" s="339"/>
      <c r="B83" s="340"/>
      <c r="C83" s="325"/>
      <c r="D83" s="750">
        <f t="shared" si="24"/>
        <v>0</v>
      </c>
      <c r="E83" s="750"/>
      <c r="F83" s="750"/>
      <c r="H83" s="16"/>
      <c r="I83" s="16"/>
      <c r="J83" s="80"/>
      <c r="K83" s="80"/>
      <c r="L83" s="80"/>
      <c r="M83" s="16"/>
      <c r="N83" s="80"/>
      <c r="O83" s="16"/>
      <c r="P83" s="16"/>
      <c r="Q83" s="16"/>
      <c r="R83" s="16"/>
      <c r="S83" s="16"/>
    </row>
    <row r="84" spans="1:19" s="15" customFormat="1" ht="30" customHeight="1" hidden="1">
      <c r="A84" s="336" t="s">
        <v>785</v>
      </c>
      <c r="B84" s="333" t="s">
        <v>833</v>
      </c>
      <c r="C84" s="315"/>
      <c r="D84" s="750">
        <f>SUM(H84:S84)</f>
        <v>0</v>
      </c>
      <c r="E84" s="750"/>
      <c r="F84" s="750"/>
      <c r="H84" s="16">
        <v>0</v>
      </c>
      <c r="I84" s="16"/>
      <c r="J84" s="80"/>
      <c r="K84" s="80"/>
      <c r="L84" s="80"/>
      <c r="M84" s="16"/>
      <c r="N84" s="80"/>
      <c r="O84" s="62">
        <f>O15+O45+O75</f>
        <v>0</v>
      </c>
      <c r="P84" s="16"/>
      <c r="Q84" s="16"/>
      <c r="R84" s="16"/>
      <c r="S84" s="16"/>
    </row>
    <row r="85" spans="1:19" s="15" customFormat="1" ht="25.5" customHeight="1">
      <c r="A85" s="334" t="s">
        <v>870</v>
      </c>
      <c r="B85" s="335" t="s">
        <v>587</v>
      </c>
      <c r="C85" s="324">
        <f>D85+E85</f>
        <v>7957100</v>
      </c>
      <c r="D85" s="751">
        <f>SUM(H85:S85)</f>
        <v>7957100</v>
      </c>
      <c r="E85" s="751">
        <f>SUM(E86:E91)</f>
        <v>0</v>
      </c>
      <c r="F85" s="751">
        <f>SUM(F86:F91)</f>
        <v>0</v>
      </c>
      <c r="H85" s="12">
        <f>SUM(H86:H95)</f>
        <v>7957100</v>
      </c>
      <c r="I85" s="14">
        <f>SUM(I86)</f>
        <v>0</v>
      </c>
      <c r="J85" s="50">
        <f aca="true" t="shared" si="30" ref="J85:R85">SUM(J86:J91)</f>
        <v>0</v>
      </c>
      <c r="K85" s="50">
        <f>K86</f>
        <v>0</v>
      </c>
      <c r="L85" s="50">
        <f>SUM(L86:L95)</f>
        <v>0</v>
      </c>
      <c r="M85" s="14">
        <f t="shared" si="30"/>
        <v>0</v>
      </c>
      <c r="N85" s="50"/>
      <c r="O85" s="14">
        <f t="shared" si="30"/>
        <v>0</v>
      </c>
      <c r="P85" s="14">
        <f t="shared" si="30"/>
        <v>0</v>
      </c>
      <c r="Q85" s="14">
        <f t="shared" si="30"/>
        <v>0</v>
      </c>
      <c r="R85" s="14">
        <f t="shared" si="30"/>
        <v>0</v>
      </c>
      <c r="S85" s="14">
        <f>SUM(S86:S91)</f>
        <v>0</v>
      </c>
    </row>
    <row r="86" spans="1:19" s="15" customFormat="1" ht="21.75" customHeight="1">
      <c r="A86" s="336" t="s">
        <v>874</v>
      </c>
      <c r="B86" s="333" t="s">
        <v>910</v>
      </c>
      <c r="C86" s="323">
        <f>D86+E86</f>
        <v>7957100</v>
      </c>
      <c r="D86" s="750">
        <f>SUM(H86:S86)</f>
        <v>7957100</v>
      </c>
      <c r="E86" s="750"/>
      <c r="F86" s="750"/>
      <c r="H86" s="16">
        <v>7957100</v>
      </c>
      <c r="I86" s="16"/>
      <c r="J86" s="80"/>
      <c r="K86" s="80"/>
      <c r="L86" s="80"/>
      <c r="M86" s="16"/>
      <c r="N86" s="80"/>
      <c r="O86" s="16"/>
      <c r="P86" s="16"/>
      <c r="Q86" s="16"/>
      <c r="R86" s="16"/>
      <c r="S86" s="16"/>
    </row>
    <row r="87" spans="1:19" s="15" customFormat="1" ht="24.75" customHeight="1" hidden="1">
      <c r="A87" s="336" t="s">
        <v>266</v>
      </c>
      <c r="B87" s="333" t="s">
        <v>507</v>
      </c>
      <c r="C87" s="315"/>
      <c r="D87" s="750">
        <f>SUM(H87:S87)</f>
        <v>0</v>
      </c>
      <c r="E87" s="750"/>
      <c r="F87" s="750"/>
      <c r="H87" s="16">
        <v>0</v>
      </c>
      <c r="I87" s="16"/>
      <c r="J87" s="80"/>
      <c r="K87" s="80"/>
      <c r="L87" s="80"/>
      <c r="M87" s="16"/>
      <c r="N87" s="80"/>
      <c r="O87" s="16"/>
      <c r="P87" s="16"/>
      <c r="Q87" s="16"/>
      <c r="R87" s="16"/>
      <c r="S87" s="16"/>
    </row>
    <row r="88" spans="1:19" s="15" customFormat="1" ht="16.5" hidden="1">
      <c r="A88" s="339" t="s">
        <v>613</v>
      </c>
      <c r="B88" s="340" t="s">
        <v>550</v>
      </c>
      <c r="C88" s="325"/>
      <c r="D88" s="750">
        <f aca="true" t="shared" si="31" ref="D88:D102">SUM(H88:S88)</f>
        <v>0</v>
      </c>
      <c r="E88" s="750"/>
      <c r="F88" s="750"/>
      <c r="H88" s="16"/>
      <c r="I88" s="16"/>
      <c r="J88" s="80"/>
      <c r="K88" s="80"/>
      <c r="L88" s="80"/>
      <c r="M88" s="16"/>
      <c r="N88" s="80"/>
      <c r="O88" s="16"/>
      <c r="P88" s="16"/>
      <c r="Q88" s="16"/>
      <c r="R88" s="16"/>
      <c r="S88" s="16"/>
    </row>
    <row r="89" spans="1:19" s="15" customFormat="1" ht="20.25" customHeight="1" hidden="1">
      <c r="A89" s="339" t="s">
        <v>804</v>
      </c>
      <c r="B89" s="340" t="s">
        <v>803</v>
      </c>
      <c r="C89" s="325"/>
      <c r="D89" s="750">
        <f t="shared" si="31"/>
        <v>0</v>
      </c>
      <c r="E89" s="750"/>
      <c r="F89" s="750"/>
      <c r="H89" s="16"/>
      <c r="I89" s="16"/>
      <c r="J89" s="80"/>
      <c r="K89" s="80"/>
      <c r="L89" s="80"/>
      <c r="M89" s="16"/>
      <c r="N89" s="80"/>
      <c r="O89" s="16"/>
      <c r="P89" s="16"/>
      <c r="Q89" s="16"/>
      <c r="R89" s="16"/>
      <c r="S89" s="16"/>
    </row>
    <row r="90" spans="1:19" s="15" customFormat="1" ht="28.5" customHeight="1" hidden="1">
      <c r="A90" s="339" t="s">
        <v>267</v>
      </c>
      <c r="B90" s="341" t="s">
        <v>911</v>
      </c>
      <c r="C90" s="326"/>
      <c r="D90" s="750">
        <f t="shared" si="31"/>
        <v>0</v>
      </c>
      <c r="E90" s="750"/>
      <c r="F90" s="750"/>
      <c r="H90" s="16"/>
      <c r="I90" s="16"/>
      <c r="J90" s="80"/>
      <c r="K90" s="80"/>
      <c r="L90" s="80"/>
      <c r="M90" s="16"/>
      <c r="N90" s="80"/>
      <c r="O90" s="16"/>
      <c r="P90" s="16"/>
      <c r="Q90" s="16"/>
      <c r="R90" s="16"/>
      <c r="S90" s="16"/>
    </row>
    <row r="91" spans="1:19" s="23" customFormat="1" ht="29.25" customHeight="1" hidden="1">
      <c r="A91" s="336" t="s">
        <v>176</v>
      </c>
      <c r="B91" s="333" t="s">
        <v>972</v>
      </c>
      <c r="C91" s="315"/>
      <c r="D91" s="752">
        <f t="shared" si="31"/>
        <v>0</v>
      </c>
      <c r="E91" s="752"/>
      <c r="F91" s="752"/>
      <c r="H91" s="22"/>
      <c r="I91" s="22"/>
      <c r="J91" s="76"/>
      <c r="K91" s="76"/>
      <c r="L91" s="76"/>
      <c r="M91" s="22"/>
      <c r="N91" s="76"/>
      <c r="O91" s="22"/>
      <c r="P91" s="22"/>
      <c r="Q91" s="22"/>
      <c r="R91" s="22"/>
      <c r="S91" s="22"/>
    </row>
    <row r="92" spans="1:19" s="23" customFormat="1" ht="43.5" customHeight="1" hidden="1">
      <c r="A92" s="336" t="s">
        <v>299</v>
      </c>
      <c r="B92" s="333" t="s">
        <v>300</v>
      </c>
      <c r="C92" s="315"/>
      <c r="D92" s="750">
        <f t="shared" si="31"/>
        <v>0</v>
      </c>
      <c r="E92" s="750"/>
      <c r="F92" s="750"/>
      <c r="H92" s="22"/>
      <c r="I92" s="22"/>
      <c r="J92" s="76"/>
      <c r="K92" s="76"/>
      <c r="L92" s="76"/>
      <c r="M92" s="22"/>
      <c r="N92" s="76"/>
      <c r="O92" s="22"/>
      <c r="P92" s="22"/>
      <c r="Q92" s="22"/>
      <c r="R92" s="22"/>
      <c r="S92" s="22"/>
    </row>
    <row r="93" spans="1:19" s="23" customFormat="1" ht="28.5" customHeight="1" hidden="1">
      <c r="A93" s="336" t="s">
        <v>784</v>
      </c>
      <c r="B93" s="333" t="s">
        <v>1044</v>
      </c>
      <c r="C93" s="315"/>
      <c r="D93" s="752">
        <f t="shared" si="31"/>
        <v>0</v>
      </c>
      <c r="E93" s="752"/>
      <c r="F93" s="752"/>
      <c r="H93" s="22"/>
      <c r="I93" s="22"/>
      <c r="J93" s="76"/>
      <c r="K93" s="76"/>
      <c r="L93" s="76"/>
      <c r="M93" s="22"/>
      <c r="N93" s="76"/>
      <c r="O93" s="22"/>
      <c r="P93" s="22"/>
      <c r="Q93" s="22"/>
      <c r="R93" s="22"/>
      <c r="S93" s="22"/>
    </row>
    <row r="94" spans="1:19" s="23" customFormat="1" ht="29.25" customHeight="1" hidden="1">
      <c r="A94" s="336" t="s">
        <v>502</v>
      </c>
      <c r="B94" s="333" t="s">
        <v>503</v>
      </c>
      <c r="C94" s="315"/>
      <c r="D94" s="750">
        <f t="shared" si="31"/>
        <v>0</v>
      </c>
      <c r="E94" s="750"/>
      <c r="F94" s="750"/>
      <c r="H94" s="22"/>
      <c r="I94" s="22"/>
      <c r="J94" s="76"/>
      <c r="K94" s="76"/>
      <c r="L94" s="76"/>
      <c r="M94" s="22"/>
      <c r="N94" s="76"/>
      <c r="O94" s="22"/>
      <c r="P94" s="22"/>
      <c r="Q94" s="22"/>
      <c r="R94" s="22"/>
      <c r="S94" s="22"/>
    </row>
    <row r="95" spans="1:19" s="23" customFormat="1" ht="27.75" customHeight="1" hidden="1">
      <c r="A95" s="342" t="s">
        <v>522</v>
      </c>
      <c r="B95" s="343" t="s">
        <v>523</v>
      </c>
      <c r="C95" s="327">
        <f>E95+D95</f>
        <v>0</v>
      </c>
      <c r="D95" s="750">
        <f t="shared" si="31"/>
        <v>0</v>
      </c>
      <c r="E95" s="750"/>
      <c r="F95" s="750"/>
      <c r="H95" s="22"/>
      <c r="I95" s="22"/>
      <c r="J95" s="76"/>
      <c r="K95" s="76"/>
      <c r="L95" s="76"/>
      <c r="M95" s="22"/>
      <c r="N95" s="76"/>
      <c r="O95" s="22"/>
      <c r="P95" s="22"/>
      <c r="Q95" s="22"/>
      <c r="R95" s="22"/>
      <c r="S95" s="22"/>
    </row>
    <row r="96" spans="1:19" s="15" customFormat="1" ht="39" customHeight="1">
      <c r="A96" s="334" t="s">
        <v>871</v>
      </c>
      <c r="B96" s="335" t="s">
        <v>588</v>
      </c>
      <c r="C96" s="324">
        <f>D96+E96</f>
        <v>102040600</v>
      </c>
      <c r="D96" s="751">
        <f aca="true" t="shared" si="32" ref="D96:D101">SUM(H96:S96)</f>
        <v>102040600</v>
      </c>
      <c r="E96" s="754">
        <f>SUM(E97:E98)</f>
        <v>0</v>
      </c>
      <c r="F96" s="754">
        <f>SUM(F97:F98)</f>
        <v>0</v>
      </c>
      <c r="H96" s="12">
        <f>H97+H98</f>
        <v>102040600</v>
      </c>
      <c r="I96" s="12">
        <f>SUM(I97:I98)</f>
        <v>0</v>
      </c>
      <c r="J96" s="12">
        <f aca="true" t="shared" si="33" ref="J96:S96">J97+J98</f>
        <v>0</v>
      </c>
      <c r="K96" s="12">
        <f>K97+K98</f>
        <v>0</v>
      </c>
      <c r="L96" s="12">
        <f t="shared" si="33"/>
        <v>0</v>
      </c>
      <c r="M96" s="12">
        <f t="shared" si="33"/>
        <v>0</v>
      </c>
      <c r="N96" s="12">
        <f t="shared" si="33"/>
        <v>0</v>
      </c>
      <c r="O96" s="12">
        <f t="shared" si="33"/>
        <v>0</v>
      </c>
      <c r="P96" s="12">
        <f t="shared" si="33"/>
        <v>0</v>
      </c>
      <c r="Q96" s="12">
        <f t="shared" si="33"/>
        <v>0</v>
      </c>
      <c r="R96" s="12">
        <f t="shared" si="33"/>
        <v>0</v>
      </c>
      <c r="S96" s="12">
        <f t="shared" si="33"/>
        <v>0</v>
      </c>
    </row>
    <row r="97" spans="1:19" s="15" customFormat="1" ht="39" customHeight="1">
      <c r="A97" s="350">
        <v>41033900</v>
      </c>
      <c r="B97" s="351" t="s">
        <v>317</v>
      </c>
      <c r="C97" s="328">
        <f>D97+E97</f>
        <v>73402900</v>
      </c>
      <c r="D97" s="750">
        <f t="shared" si="32"/>
        <v>73402900</v>
      </c>
      <c r="E97" s="751"/>
      <c r="F97" s="751"/>
      <c r="H97" s="14">
        <v>73402900</v>
      </c>
      <c r="I97" s="14"/>
      <c r="J97" s="50"/>
      <c r="K97" s="50"/>
      <c r="L97" s="50"/>
      <c r="M97" s="14"/>
      <c r="N97" s="50"/>
      <c r="O97" s="14"/>
      <c r="P97" s="14"/>
      <c r="Q97" s="14"/>
      <c r="R97" s="14"/>
      <c r="S97" s="14"/>
    </row>
    <row r="98" spans="1:19" s="15" customFormat="1" ht="39" customHeight="1">
      <c r="A98" s="350">
        <v>41034200</v>
      </c>
      <c r="B98" s="351" t="s">
        <v>318</v>
      </c>
      <c r="C98" s="328">
        <f>D98+E98</f>
        <v>28637700</v>
      </c>
      <c r="D98" s="750">
        <f t="shared" si="32"/>
        <v>28637700</v>
      </c>
      <c r="E98" s="751"/>
      <c r="F98" s="751"/>
      <c r="H98" s="14">
        <f>28637700</f>
        <v>28637700</v>
      </c>
      <c r="I98" s="14"/>
      <c r="J98" s="50"/>
      <c r="K98" s="50"/>
      <c r="L98" s="50"/>
      <c r="M98" s="14"/>
      <c r="N98" s="50"/>
      <c r="O98" s="14"/>
      <c r="P98" s="14"/>
      <c r="Q98" s="14"/>
      <c r="R98" s="14"/>
      <c r="S98" s="14"/>
    </row>
    <row r="99" spans="1:19" s="13" customFormat="1" ht="36" customHeight="1">
      <c r="A99" s="701" t="s">
        <v>269</v>
      </c>
      <c r="B99" s="701" t="s">
        <v>268</v>
      </c>
      <c r="C99" s="324">
        <f aca="true" t="shared" si="34" ref="C99:C118">D99+E99</f>
        <v>14025540</v>
      </c>
      <c r="D99" s="751">
        <f t="shared" si="32"/>
        <v>14025540</v>
      </c>
      <c r="E99" s="751"/>
      <c r="F99" s="751"/>
      <c r="H99" s="44">
        <f>H100</f>
        <v>14025540</v>
      </c>
      <c r="I99" s="44">
        <f>SUM(I100)</f>
        <v>0</v>
      </c>
      <c r="J99" s="263"/>
      <c r="K99" s="263">
        <f>K100</f>
        <v>0</v>
      </c>
      <c r="L99" s="263">
        <f>L100</f>
        <v>0</v>
      </c>
      <c r="M99" s="44"/>
      <c r="N99" s="263"/>
      <c r="O99" s="44"/>
      <c r="P99" s="44"/>
      <c r="Q99" s="44"/>
      <c r="R99" s="44"/>
      <c r="S99" s="44"/>
    </row>
    <row r="100" spans="1:19" s="15" customFormat="1" ht="66" customHeight="1">
      <c r="A100" s="337" t="s">
        <v>270</v>
      </c>
      <c r="B100" s="333" t="s">
        <v>271</v>
      </c>
      <c r="C100" s="328">
        <f t="shared" si="34"/>
        <v>14025540</v>
      </c>
      <c r="D100" s="750">
        <f t="shared" si="32"/>
        <v>14025540</v>
      </c>
      <c r="E100" s="750"/>
      <c r="F100" s="750"/>
      <c r="G100" s="54"/>
      <c r="H100" s="16">
        <f>13086000+250000+2139+120000+41620+158631+8668+144667+14328+99187+100300</f>
        <v>14025540</v>
      </c>
      <c r="I100" s="16"/>
      <c r="J100" s="80"/>
      <c r="K100" s="80"/>
      <c r="L100" s="80"/>
      <c r="M100" s="16"/>
      <c r="N100" s="80"/>
      <c r="O100" s="16"/>
      <c r="P100" s="16"/>
      <c r="Q100" s="16"/>
      <c r="R100" s="16"/>
      <c r="S100" s="16"/>
    </row>
    <row r="101" spans="1:22" s="15" customFormat="1" ht="35.25" customHeight="1">
      <c r="A101" s="334" t="s">
        <v>272</v>
      </c>
      <c r="B101" s="335" t="s">
        <v>273</v>
      </c>
      <c r="C101" s="324">
        <f>D101+E101</f>
        <v>195431395.05</v>
      </c>
      <c r="D101" s="751">
        <f t="shared" si="32"/>
        <v>190465850.05</v>
      </c>
      <c r="E101" s="751">
        <f>SUM(E102:E118)</f>
        <v>4965545</v>
      </c>
      <c r="F101" s="751">
        <f>SUM(F102:F118)</f>
        <v>4732045</v>
      </c>
      <c r="H101" s="44">
        <f>H104+H102+H103+H106+H107+H111+H113+H118+H109</f>
        <v>208994115</v>
      </c>
      <c r="I101" s="44">
        <f>SUM(I102:I118)</f>
        <v>113821</v>
      </c>
      <c r="J101" s="263">
        <f>J104+J102+J103+J106+J107+J111+J113+J118+J109+J112+J110+J105</f>
        <v>430393</v>
      </c>
      <c r="K101" s="263">
        <f>SUM(K102:K118)</f>
        <v>-19072478.95</v>
      </c>
      <c r="L101" s="80">
        <f>SUM(L102:L118)</f>
        <v>0</v>
      </c>
      <c r="M101" s="80">
        <f>SUM(M102:M118)</f>
        <v>0</v>
      </c>
      <c r="N101" s="80"/>
      <c r="O101" s="16"/>
      <c r="P101" s="16"/>
      <c r="Q101" s="16"/>
      <c r="R101" s="16"/>
      <c r="S101" s="16"/>
      <c r="U101" s="54"/>
      <c r="V101" s="54"/>
    </row>
    <row r="102" spans="1:19" s="15" customFormat="1" ht="236.25" customHeight="1">
      <c r="A102" s="337" t="s">
        <v>578</v>
      </c>
      <c r="B102" s="333" t="s">
        <v>590</v>
      </c>
      <c r="C102" s="239">
        <f t="shared" si="34"/>
        <v>45121300</v>
      </c>
      <c r="D102" s="750">
        <f t="shared" si="31"/>
        <v>45121300</v>
      </c>
      <c r="E102" s="750"/>
      <c r="F102" s="750"/>
      <c r="H102" s="16">
        <v>69279200</v>
      </c>
      <c r="I102" s="16"/>
      <c r="J102" s="80"/>
      <c r="K102" s="80">
        <v>-24157900</v>
      </c>
      <c r="L102" s="80"/>
      <c r="M102" s="16"/>
      <c r="N102" s="80"/>
      <c r="O102" s="16"/>
      <c r="P102" s="16"/>
      <c r="Q102" s="16"/>
      <c r="R102" s="16"/>
      <c r="S102" s="16"/>
    </row>
    <row r="103" spans="1:19" s="15" customFormat="1" ht="75" customHeight="1">
      <c r="A103" s="337" t="s">
        <v>579</v>
      </c>
      <c r="B103" s="333" t="s">
        <v>580</v>
      </c>
      <c r="C103" s="239">
        <f t="shared" si="34"/>
        <v>4177700</v>
      </c>
      <c r="D103" s="750">
        <f>SUM(H103:S103)</f>
        <v>4177700</v>
      </c>
      <c r="E103" s="755"/>
      <c r="F103" s="755"/>
      <c r="H103" s="16">
        <v>4177700</v>
      </c>
      <c r="I103" s="16"/>
      <c r="J103" s="80"/>
      <c r="K103" s="80"/>
      <c r="L103" s="80"/>
      <c r="M103" s="16"/>
      <c r="N103" s="80"/>
      <c r="O103" s="16"/>
      <c r="P103" s="16"/>
      <c r="Q103" s="16"/>
      <c r="R103" s="16"/>
      <c r="S103" s="16"/>
    </row>
    <row r="104" spans="1:19" s="15" customFormat="1" ht="218.25" customHeight="1">
      <c r="A104" s="337" t="s">
        <v>274</v>
      </c>
      <c r="B104" s="333" t="s">
        <v>596</v>
      </c>
      <c r="C104" s="239">
        <f t="shared" si="34"/>
        <v>106305700</v>
      </c>
      <c r="D104" s="750">
        <f>SUM(H104:S104)</f>
        <v>106305700</v>
      </c>
      <c r="E104" s="755"/>
      <c r="F104" s="755"/>
      <c r="H104" s="16">
        <v>106305700</v>
      </c>
      <c r="I104" s="16"/>
      <c r="J104" s="80"/>
      <c r="K104" s="80"/>
      <c r="L104" s="80"/>
      <c r="M104" s="16"/>
      <c r="N104" s="80"/>
      <c r="O104" s="16"/>
      <c r="P104" s="16"/>
      <c r="Q104" s="16"/>
      <c r="R104" s="16"/>
      <c r="S104" s="16"/>
    </row>
    <row r="105" spans="1:19" s="15" customFormat="1" ht="234" customHeight="1" hidden="1">
      <c r="A105" s="337" t="s">
        <v>173</v>
      </c>
      <c r="B105" s="333" t="s">
        <v>1025</v>
      </c>
      <c r="C105" s="239">
        <f t="shared" si="34"/>
        <v>0</v>
      </c>
      <c r="D105" s="750">
        <f>SUM(H105:S105)</f>
        <v>0</v>
      </c>
      <c r="E105" s="755"/>
      <c r="F105" s="755"/>
      <c r="H105" s="16"/>
      <c r="I105" s="16"/>
      <c r="J105" s="80"/>
      <c r="K105" s="80"/>
      <c r="L105" s="80"/>
      <c r="M105" s="16"/>
      <c r="N105" s="80"/>
      <c r="O105" s="16"/>
      <c r="P105" s="16"/>
      <c r="Q105" s="16"/>
      <c r="R105" s="16"/>
      <c r="S105" s="16"/>
    </row>
    <row r="106" spans="1:19" s="15" customFormat="1" ht="183.75" customHeight="1">
      <c r="A106" s="337" t="s">
        <v>943</v>
      </c>
      <c r="B106" s="333" t="s">
        <v>597</v>
      </c>
      <c r="C106" s="239">
        <f t="shared" si="34"/>
        <v>3679700</v>
      </c>
      <c r="D106" s="750">
        <f aca="true" t="shared" si="35" ref="D106:D113">SUM(H106:S106)</f>
        <v>3679700</v>
      </c>
      <c r="E106" s="755"/>
      <c r="F106" s="755"/>
      <c r="H106" s="16">
        <v>3679700</v>
      </c>
      <c r="I106" s="16"/>
      <c r="J106" s="80"/>
      <c r="K106" s="80"/>
      <c r="L106" s="80"/>
      <c r="M106" s="16"/>
      <c r="N106" s="80"/>
      <c r="O106" s="16"/>
      <c r="P106" s="16"/>
      <c r="Q106" s="16"/>
      <c r="R106" s="16"/>
      <c r="S106" s="16"/>
    </row>
    <row r="107" spans="1:19" s="15" customFormat="1" ht="55.5" customHeight="1">
      <c r="A107" s="337" t="s">
        <v>944</v>
      </c>
      <c r="B107" s="333" t="s">
        <v>172</v>
      </c>
      <c r="C107" s="239">
        <f t="shared" si="34"/>
        <v>1997160</v>
      </c>
      <c r="D107" s="750">
        <f t="shared" si="35"/>
        <v>1997160</v>
      </c>
      <c r="E107" s="755"/>
      <c r="F107" s="755"/>
      <c r="H107" s="16">
        <v>1997160</v>
      </c>
      <c r="I107" s="16"/>
      <c r="J107" s="80"/>
      <c r="K107" s="80"/>
      <c r="L107" s="80"/>
      <c r="M107" s="16"/>
      <c r="N107" s="80"/>
      <c r="O107" s="16"/>
      <c r="P107" s="16"/>
      <c r="Q107" s="16"/>
      <c r="R107" s="16"/>
      <c r="S107" s="16"/>
    </row>
    <row r="108" spans="1:19" s="15" customFormat="1" ht="55.5" customHeight="1">
      <c r="A108" s="337" t="s">
        <v>127</v>
      </c>
      <c r="B108" s="333" t="s">
        <v>128</v>
      </c>
      <c r="C108" s="239">
        <f t="shared" si="34"/>
        <v>565000</v>
      </c>
      <c r="D108" s="750">
        <f t="shared" si="35"/>
        <v>565000</v>
      </c>
      <c r="E108" s="755"/>
      <c r="F108" s="755"/>
      <c r="H108" s="16"/>
      <c r="I108" s="16"/>
      <c r="J108" s="80"/>
      <c r="K108" s="80">
        <v>565000</v>
      </c>
      <c r="L108" s="80"/>
      <c r="M108" s="16"/>
      <c r="N108" s="80"/>
      <c r="O108" s="16"/>
      <c r="P108" s="16"/>
      <c r="Q108" s="16"/>
      <c r="R108" s="16"/>
      <c r="S108" s="16"/>
    </row>
    <row r="109" spans="1:19" s="15" customFormat="1" ht="55.5" customHeight="1">
      <c r="A109" s="337" t="s">
        <v>878</v>
      </c>
      <c r="B109" s="333" t="s">
        <v>877</v>
      </c>
      <c r="C109" s="239">
        <f t="shared" si="34"/>
        <v>384500</v>
      </c>
      <c r="D109" s="750">
        <f t="shared" si="35"/>
        <v>384500</v>
      </c>
      <c r="E109" s="750"/>
      <c r="F109" s="750"/>
      <c r="H109" s="16">
        <v>305500</v>
      </c>
      <c r="I109" s="16"/>
      <c r="J109" s="80">
        <v>79000</v>
      </c>
      <c r="K109" s="80"/>
      <c r="L109" s="80"/>
      <c r="M109" s="16"/>
      <c r="N109" s="80"/>
      <c r="O109" s="16"/>
      <c r="P109" s="16"/>
      <c r="Q109" s="16"/>
      <c r="R109" s="16"/>
      <c r="S109" s="16"/>
    </row>
    <row r="110" spans="1:19" s="15" customFormat="1" ht="71.25" customHeight="1">
      <c r="A110" s="337" t="s">
        <v>674</v>
      </c>
      <c r="B110" s="333" t="s">
        <v>675</v>
      </c>
      <c r="C110" s="239">
        <f t="shared" si="34"/>
        <v>1154420</v>
      </c>
      <c r="D110" s="750">
        <f t="shared" si="35"/>
        <v>1154420</v>
      </c>
      <c r="E110" s="750"/>
      <c r="F110" s="750"/>
      <c r="H110" s="16"/>
      <c r="I110" s="16"/>
      <c r="J110" s="80"/>
      <c r="K110" s="80">
        <v>1154420</v>
      </c>
      <c r="L110" s="80"/>
      <c r="M110" s="16"/>
      <c r="N110" s="80"/>
      <c r="O110" s="16"/>
      <c r="P110" s="16"/>
      <c r="Q110" s="16"/>
      <c r="R110" s="16"/>
      <c r="S110" s="16"/>
    </row>
    <row r="111" spans="1:19" s="15" customFormat="1" ht="54" customHeight="1">
      <c r="A111" s="337" t="s">
        <v>945</v>
      </c>
      <c r="B111" s="333" t="s">
        <v>497</v>
      </c>
      <c r="C111" s="239">
        <f t="shared" si="34"/>
        <v>19580327</v>
      </c>
      <c r="D111" s="750">
        <f>SUM(H111:S111)</f>
        <v>19580327</v>
      </c>
      <c r="E111" s="755"/>
      <c r="F111" s="755"/>
      <c r="H111" s="16">
        <f>42500+1347400+3957645+485255+7300+7659931+1054469+12200+2451049+286151+5812+1923028+344687+2900</f>
        <v>19580327</v>
      </c>
      <c r="I111" s="16"/>
      <c r="J111" s="80"/>
      <c r="K111" s="80"/>
      <c r="L111" s="80"/>
      <c r="M111" s="16"/>
      <c r="N111" s="80"/>
      <c r="O111" s="16"/>
      <c r="P111" s="16"/>
      <c r="Q111" s="16"/>
      <c r="R111" s="16"/>
      <c r="S111" s="16"/>
    </row>
    <row r="112" spans="1:19" s="15" customFormat="1" ht="54.75" customHeight="1">
      <c r="A112" s="337" t="s">
        <v>672</v>
      </c>
      <c r="B112" s="333" t="s">
        <v>673</v>
      </c>
      <c r="C112" s="239">
        <f t="shared" si="34"/>
        <v>388899.05</v>
      </c>
      <c r="D112" s="750">
        <f>SUM(H112:S112)</f>
        <v>388899.05</v>
      </c>
      <c r="E112" s="755"/>
      <c r="F112" s="755"/>
      <c r="H112" s="16"/>
      <c r="I112" s="16">
        <v>28000</v>
      </c>
      <c r="J112" s="80"/>
      <c r="K112" s="80">
        <f>78693.7+281820+385.35</f>
        <v>360899.05</v>
      </c>
      <c r="L112" s="80"/>
      <c r="M112" s="16"/>
      <c r="N112" s="80"/>
      <c r="O112" s="16"/>
      <c r="P112" s="16"/>
      <c r="Q112" s="16"/>
      <c r="R112" s="16"/>
      <c r="S112" s="16"/>
    </row>
    <row r="113" spans="1:19" s="15" customFormat="1" ht="65.25" customHeight="1">
      <c r="A113" s="337" t="s">
        <v>946</v>
      </c>
      <c r="B113" s="333" t="s">
        <v>947</v>
      </c>
      <c r="C113" s="239">
        <f t="shared" si="34"/>
        <v>315805</v>
      </c>
      <c r="D113" s="750">
        <f t="shared" si="35"/>
        <v>315805</v>
      </c>
      <c r="E113" s="755"/>
      <c r="F113" s="755"/>
      <c r="H113" s="16">
        <v>267300</v>
      </c>
      <c r="I113" s="16"/>
      <c r="J113" s="80"/>
      <c r="K113" s="80">
        <v>48505</v>
      </c>
      <c r="L113" s="80"/>
      <c r="M113" s="16"/>
      <c r="N113" s="80"/>
      <c r="O113" s="16"/>
      <c r="P113" s="16"/>
      <c r="Q113" s="16"/>
      <c r="R113" s="16"/>
      <c r="S113" s="16"/>
    </row>
    <row r="114" spans="1:19" s="15" customFormat="1" ht="99.75" customHeight="1">
      <c r="A114" s="408" t="s">
        <v>555</v>
      </c>
      <c r="B114" s="343" t="s">
        <v>1</v>
      </c>
      <c r="C114" s="409">
        <f t="shared" si="34"/>
        <v>233500</v>
      </c>
      <c r="D114" s="750"/>
      <c r="E114" s="750">
        <v>233500</v>
      </c>
      <c r="F114" s="750"/>
      <c r="H114" s="16"/>
      <c r="I114" s="16"/>
      <c r="J114" s="80"/>
      <c r="K114" s="80"/>
      <c r="L114" s="80"/>
      <c r="M114" s="16"/>
      <c r="N114" s="80"/>
      <c r="O114" s="16"/>
      <c r="P114" s="16"/>
      <c r="Q114" s="16"/>
      <c r="R114" s="16"/>
      <c r="S114" s="16"/>
    </row>
    <row r="115" spans="1:19" s="15" customFormat="1" ht="51" customHeight="1" hidden="1">
      <c r="A115" s="408" t="s">
        <v>554</v>
      </c>
      <c r="B115" s="343" t="s">
        <v>556</v>
      </c>
      <c r="C115" s="409">
        <f t="shared" si="34"/>
        <v>0</v>
      </c>
      <c r="D115" s="750"/>
      <c r="E115" s="750"/>
      <c r="F115" s="755"/>
      <c r="H115" s="16"/>
      <c r="I115" s="16"/>
      <c r="J115" s="80"/>
      <c r="K115" s="80"/>
      <c r="L115" s="80"/>
      <c r="M115" s="16"/>
      <c r="N115" s="80"/>
      <c r="O115" s="16"/>
      <c r="P115" s="16"/>
      <c r="Q115" s="16"/>
      <c r="R115" s="16"/>
      <c r="S115" s="16"/>
    </row>
    <row r="116" spans="1:19" s="15" customFormat="1" ht="38.25" customHeight="1">
      <c r="A116" s="408" t="s">
        <v>137</v>
      </c>
      <c r="B116" s="343" t="s">
        <v>138</v>
      </c>
      <c r="C116" s="409">
        <f t="shared" si="34"/>
        <v>99800</v>
      </c>
      <c r="D116" s="750"/>
      <c r="E116" s="750">
        <v>99800</v>
      </c>
      <c r="F116" s="750">
        <v>99800</v>
      </c>
      <c r="H116" s="16"/>
      <c r="I116" s="16"/>
      <c r="J116" s="80"/>
      <c r="K116" s="80"/>
      <c r="L116" s="80"/>
      <c r="M116" s="16"/>
      <c r="N116" s="80"/>
      <c r="O116" s="16"/>
      <c r="P116" s="16"/>
      <c r="Q116" s="16"/>
      <c r="R116" s="16"/>
      <c r="S116" s="16"/>
    </row>
    <row r="117" spans="1:19" s="15" customFormat="1" ht="38.25" customHeight="1">
      <c r="A117" s="408" t="s">
        <v>217</v>
      </c>
      <c r="B117" s="718" t="s">
        <v>219</v>
      </c>
      <c r="C117" s="409">
        <f t="shared" si="34"/>
        <v>15000</v>
      </c>
      <c r="D117" s="750"/>
      <c r="E117" s="750">
        <f>50000-35000</f>
        <v>15000</v>
      </c>
      <c r="F117" s="750">
        <f>50000-35000</f>
        <v>15000</v>
      </c>
      <c r="H117" s="16"/>
      <c r="I117" s="16"/>
      <c r="J117" s="80"/>
      <c r="K117" s="80"/>
      <c r="L117" s="80"/>
      <c r="M117" s="16"/>
      <c r="N117" s="80"/>
      <c r="O117" s="16"/>
      <c r="P117" s="16"/>
      <c r="Q117" s="16"/>
      <c r="R117" s="16"/>
      <c r="S117" s="16"/>
    </row>
    <row r="118" spans="1:19" s="15" customFormat="1" ht="25.5" customHeight="1">
      <c r="A118" s="408" t="s">
        <v>548</v>
      </c>
      <c r="B118" s="343" t="s">
        <v>948</v>
      </c>
      <c r="C118" s="409">
        <f t="shared" si="34"/>
        <v>11412584</v>
      </c>
      <c r="D118" s="750">
        <f>SUM(H118:S118)</f>
        <v>6795339</v>
      </c>
      <c r="E118" s="756">
        <f>1350000+7350+2006000+100000+43700+15000+100000+170000+30000+562195+35000+98000+100000</f>
        <v>4617245</v>
      </c>
      <c r="F118" s="750">
        <f>1350000+7350+2006000+100000+43700+15000+100000+170000+30000+562195+35000+98000+100000</f>
        <v>4617245</v>
      </c>
      <c r="H118" s="16">
        <f>157700+30547+10000+36000+2400+48850-7350+14180+28545+57334+87640+844352+175328+18449+29878+307036+164367+143946+17471+29740+153516+38300+721507+29010+4430+258352</f>
        <v>3401528</v>
      </c>
      <c r="I118" s="16">
        <v>85821</v>
      </c>
      <c r="J118" s="80">
        <f>134686+22073+137864+56770</f>
        <v>351393</v>
      </c>
      <c r="K118" s="80">
        <f>1295000+1171126+11541+18573+90000+93983+5000+15000+164624+20000+64000+1750+6000</f>
        <v>2956597</v>
      </c>
      <c r="L118" s="80"/>
      <c r="M118" s="16"/>
      <c r="N118" s="80"/>
      <c r="O118" s="16"/>
      <c r="P118" s="16"/>
      <c r="Q118" s="16"/>
      <c r="R118" s="16"/>
      <c r="S118" s="16"/>
    </row>
    <row r="119" spans="1:19" s="19" customFormat="1" ht="21.75" customHeight="1">
      <c r="A119" s="403" t="s">
        <v>980</v>
      </c>
      <c r="B119" s="344" t="s">
        <v>851</v>
      </c>
      <c r="C119" s="305">
        <f>D119+E119</f>
        <v>414023701.05</v>
      </c>
      <c r="D119" s="305">
        <f>SUM(H119:S119)</f>
        <v>407648849.05</v>
      </c>
      <c r="E119" s="305">
        <f>E10+E41+E80+E70</f>
        <v>6374852</v>
      </c>
      <c r="F119" s="305">
        <f>F10+F41+F80+F70</f>
        <v>4732045</v>
      </c>
      <c r="H119" s="18">
        <f>H79+H80</f>
        <v>418659655</v>
      </c>
      <c r="I119" s="18">
        <f aca="true" t="shared" si="36" ref="I119:N119">I79+I80</f>
        <v>113821</v>
      </c>
      <c r="J119" s="77">
        <f>J79+J80</f>
        <v>4171156</v>
      </c>
      <c r="K119" s="77">
        <f t="shared" si="36"/>
        <v>-15295782.95</v>
      </c>
      <c r="L119" s="77">
        <f t="shared" si="36"/>
        <v>0</v>
      </c>
      <c r="M119" s="18">
        <f t="shared" si="36"/>
        <v>0</v>
      </c>
      <c r="N119" s="77">
        <f t="shared" si="36"/>
        <v>0</v>
      </c>
      <c r="O119" s="18">
        <f>O79+O80</f>
        <v>0</v>
      </c>
      <c r="P119" s="18">
        <f>P79+P80</f>
        <v>0</v>
      </c>
      <c r="Q119" s="18">
        <f>Q79+Q80</f>
        <v>0</v>
      </c>
      <c r="R119" s="18">
        <f>R79+R80</f>
        <v>0</v>
      </c>
      <c r="S119" s="18">
        <f>S79+S80</f>
        <v>0</v>
      </c>
    </row>
    <row r="120" spans="1:6" ht="15.75">
      <c r="A120" s="306"/>
      <c r="B120" s="306"/>
      <c r="C120" s="306"/>
      <c r="D120" s="306"/>
      <c r="E120" s="306"/>
      <c r="F120" s="306"/>
    </row>
    <row r="121" spans="1:6" s="58" customFormat="1" ht="16.5">
      <c r="A121" s="329" t="s">
        <v>821</v>
      </c>
      <c r="B121" s="330"/>
      <c r="C121" s="330"/>
      <c r="D121" s="330" t="s">
        <v>208</v>
      </c>
      <c r="E121" s="330"/>
      <c r="F121" s="331"/>
    </row>
    <row r="122" spans="1:6" ht="15.75">
      <c r="A122" s="306"/>
      <c r="B122" s="306"/>
      <c r="C122" s="306"/>
      <c r="D122" s="306"/>
      <c r="E122" s="306"/>
      <c r="F122" s="306"/>
    </row>
    <row r="123" spans="1:6" ht="15.75">
      <c r="A123" s="306"/>
      <c r="B123" s="306"/>
      <c r="C123" s="332">
        <f>C119-'Дод.3'!S118</f>
        <v>-16488865.829999983</v>
      </c>
      <c r="D123" s="310">
        <f>D119-'Дод.3'!H118</f>
        <v>-8638449.829999983</v>
      </c>
      <c r="E123" s="310">
        <f>E119-'Дод.3'!M118</f>
        <v>-7850416</v>
      </c>
      <c r="F123" s="310">
        <f>F119-'Дод.3'!N118</f>
        <v>-7305516</v>
      </c>
    </row>
    <row r="124" spans="1:6" ht="15.75">
      <c r="A124" s="306"/>
      <c r="B124" s="306"/>
      <c r="C124" s="306">
        <v>0</v>
      </c>
      <c r="D124" s="306"/>
      <c r="E124" s="310"/>
      <c r="F124" s="306"/>
    </row>
    <row r="125" spans="1:6" ht="15.75">
      <c r="A125" s="306"/>
      <c r="B125" s="307"/>
      <c r="C125" s="308"/>
      <c r="D125" s="309"/>
      <c r="E125" s="308"/>
      <c r="F125" s="308"/>
    </row>
    <row r="126" spans="1:6" ht="15.75">
      <c r="A126" s="306"/>
      <c r="B126" s="307"/>
      <c r="C126" s="307"/>
      <c r="D126" s="309"/>
      <c r="E126" s="307"/>
      <c r="F126" s="307"/>
    </row>
    <row r="127" spans="1:6" ht="15.75">
      <c r="A127" s="306"/>
      <c r="B127" s="306"/>
      <c r="C127" s="306"/>
      <c r="D127" s="306"/>
      <c r="E127" s="306"/>
      <c r="F127" s="306"/>
    </row>
    <row r="128" spans="1:6" ht="15.75">
      <c r="A128" s="306"/>
      <c r="B128" s="306"/>
      <c r="C128" s="306"/>
      <c r="D128" s="306"/>
      <c r="E128" s="306"/>
      <c r="F128" s="306"/>
    </row>
    <row r="129" spans="1:6" ht="15.75">
      <c r="A129" s="306"/>
      <c r="B129" s="306"/>
      <c r="C129" s="306"/>
      <c r="D129" s="306"/>
      <c r="E129" s="306"/>
      <c r="F129" s="306"/>
    </row>
    <row r="130" spans="1:6" ht="15.75">
      <c r="A130" s="306"/>
      <c r="B130" s="306"/>
      <c r="C130" s="306"/>
      <c r="D130" s="306"/>
      <c r="E130" s="310"/>
      <c r="F130" s="310"/>
    </row>
    <row r="131" spans="1:6" ht="15.75">
      <c r="A131" s="306"/>
      <c r="B131" s="306"/>
      <c r="C131" s="306"/>
      <c r="D131" s="306"/>
      <c r="E131" s="306"/>
      <c r="F131" s="306"/>
    </row>
    <row r="132" spans="1:6" ht="15.75">
      <c r="A132" s="306"/>
      <c r="B132" s="306"/>
      <c r="C132" s="306"/>
      <c r="D132" s="310"/>
      <c r="E132" s="306"/>
      <c r="F132" s="306"/>
    </row>
    <row r="133" spans="1:6" ht="15.75">
      <c r="A133" s="306"/>
      <c r="B133" s="306"/>
      <c r="C133" s="306"/>
      <c r="D133" s="306"/>
      <c r="E133" s="306"/>
      <c r="F133" s="306"/>
    </row>
    <row r="134" spans="1:6" ht="15.75">
      <c r="A134" s="306"/>
      <c r="B134" s="306"/>
      <c r="C134" s="306"/>
      <c r="D134" s="306"/>
      <c r="E134" s="306"/>
      <c r="F134" s="306"/>
    </row>
    <row r="135" spans="1:6" ht="15.75">
      <c r="A135" s="306"/>
      <c r="B135" s="306"/>
      <c r="C135" s="306"/>
      <c r="D135" s="306"/>
      <c r="E135" s="306"/>
      <c r="F135" s="306"/>
    </row>
    <row r="136" spans="1:6" ht="15.75">
      <c r="A136" s="306"/>
      <c r="B136" s="306"/>
      <c r="C136" s="306"/>
      <c r="D136" s="306"/>
      <c r="E136" s="306"/>
      <c r="F136" s="306"/>
    </row>
    <row r="137" spans="1:6" ht="15.75">
      <c r="A137" s="306"/>
      <c r="B137" s="306"/>
      <c r="C137" s="306"/>
      <c r="D137" s="306"/>
      <c r="E137" s="306"/>
      <c r="F137" s="306"/>
    </row>
    <row r="138" spans="1:6" ht="15.75">
      <c r="A138" s="306"/>
      <c r="B138" s="306"/>
      <c r="C138" s="306"/>
      <c r="D138" s="306"/>
      <c r="E138" s="306"/>
      <c r="F138" s="306"/>
    </row>
    <row r="139" spans="1:6" ht="15.75">
      <c r="A139" s="306"/>
      <c r="B139" s="306"/>
      <c r="C139" s="306"/>
      <c r="D139" s="306"/>
      <c r="E139" s="306"/>
      <c r="F139" s="306"/>
    </row>
    <row r="140" spans="1:6" ht="15.75">
      <c r="A140" s="306"/>
      <c r="B140" s="306"/>
      <c r="C140" s="306"/>
      <c r="D140" s="306"/>
      <c r="E140" s="306"/>
      <c r="F140" s="306"/>
    </row>
    <row r="141" spans="1:6" ht="15.75">
      <c r="A141" s="306"/>
      <c r="B141" s="306"/>
      <c r="C141" s="306"/>
      <c r="D141" s="306"/>
      <c r="E141" s="306"/>
      <c r="F141" s="306"/>
    </row>
    <row r="142" spans="1:6" ht="15.75">
      <c r="A142" s="306"/>
      <c r="B142" s="306"/>
      <c r="C142" s="306"/>
      <c r="D142" s="306"/>
      <c r="E142" s="306"/>
      <c r="F142" s="306"/>
    </row>
    <row r="143" spans="1:6" ht="15.75">
      <c r="A143" s="306"/>
      <c r="B143" s="306"/>
      <c r="C143" s="306"/>
      <c r="D143" s="306"/>
      <c r="E143" s="306"/>
      <c r="F143" s="306"/>
    </row>
    <row r="144" spans="1:6" ht="15.75">
      <c r="A144" s="306"/>
      <c r="B144" s="306"/>
      <c r="C144" s="306"/>
      <c r="D144" s="306"/>
      <c r="E144" s="306"/>
      <c r="F144" s="306"/>
    </row>
    <row r="145" spans="1:6" ht="15.75">
      <c r="A145" s="306"/>
      <c r="B145" s="306"/>
      <c r="C145" s="306"/>
      <c r="D145" s="306"/>
      <c r="E145" s="306"/>
      <c r="F145" s="306"/>
    </row>
    <row r="146" spans="1:6" ht="15.75">
      <c r="A146" s="306"/>
      <c r="B146" s="306"/>
      <c r="C146" s="306"/>
      <c r="D146" s="306"/>
      <c r="E146" s="306"/>
      <c r="F146" s="306"/>
    </row>
    <row r="147" spans="1:6" ht="15.75">
      <c r="A147" s="306"/>
      <c r="B147" s="306"/>
      <c r="C147" s="306"/>
      <c r="D147" s="306"/>
      <c r="E147" s="306"/>
      <c r="F147" s="306"/>
    </row>
    <row r="148" spans="1:6" ht="15.75">
      <c r="A148" s="306"/>
      <c r="B148" s="306"/>
      <c r="C148" s="306"/>
      <c r="D148" s="306"/>
      <c r="E148" s="306"/>
      <c r="F148" s="306"/>
    </row>
    <row r="149" spans="1:6" ht="15.75">
      <c r="A149" s="306"/>
      <c r="B149" s="306"/>
      <c r="C149" s="306"/>
      <c r="D149" s="306"/>
      <c r="E149" s="306"/>
      <c r="F149" s="306"/>
    </row>
    <row r="150" spans="1:6" ht="15.75">
      <c r="A150" s="306"/>
      <c r="B150" s="306"/>
      <c r="C150" s="306"/>
      <c r="D150" s="306"/>
      <c r="E150" s="306"/>
      <c r="F150" s="306"/>
    </row>
    <row r="151" spans="1:6" ht="15.75">
      <c r="A151" s="306"/>
      <c r="B151" s="306"/>
      <c r="C151" s="306"/>
      <c r="D151" s="306"/>
      <c r="E151" s="306"/>
      <c r="F151" s="306"/>
    </row>
    <row r="152" spans="1:6" ht="15.75">
      <c r="A152" s="306"/>
      <c r="B152" s="306"/>
      <c r="C152" s="306"/>
      <c r="D152" s="306"/>
      <c r="E152" s="306"/>
      <c r="F152" s="306"/>
    </row>
    <row r="153" spans="1:6" ht="15.75">
      <c r="A153" s="306"/>
      <c r="B153" s="306"/>
      <c r="C153" s="306"/>
      <c r="D153" s="306"/>
      <c r="E153" s="306"/>
      <c r="F153" s="306"/>
    </row>
    <row r="154" spans="1:6" ht="15.75">
      <c r="A154" s="306"/>
      <c r="B154" s="306"/>
      <c r="C154" s="306"/>
      <c r="D154" s="306"/>
      <c r="E154" s="306"/>
      <c r="F154" s="306"/>
    </row>
    <row r="155" spans="1:6" ht="15.75">
      <c r="A155" s="306"/>
      <c r="B155" s="306"/>
      <c r="C155" s="306"/>
      <c r="D155" s="306"/>
      <c r="E155" s="306"/>
      <c r="F155" s="306"/>
    </row>
    <row r="156" spans="1:6" ht="15.75">
      <c r="A156" s="306"/>
      <c r="B156" s="306"/>
      <c r="C156" s="306"/>
      <c r="D156" s="306"/>
      <c r="E156" s="306"/>
      <c r="F156" s="306"/>
    </row>
    <row r="157" spans="1:6" ht="15.75">
      <c r="A157" s="306"/>
      <c r="B157" s="306"/>
      <c r="C157" s="306"/>
      <c r="D157" s="306"/>
      <c r="E157" s="306"/>
      <c r="F157" s="306"/>
    </row>
    <row r="158" spans="1:6" ht="15.75">
      <c r="A158" s="306"/>
      <c r="B158" s="306"/>
      <c r="C158" s="306"/>
      <c r="D158" s="306"/>
      <c r="E158" s="306"/>
      <c r="F158" s="306"/>
    </row>
    <row r="159" spans="1:6" ht="15.75">
      <c r="A159" s="306"/>
      <c r="B159" s="306"/>
      <c r="C159" s="306"/>
      <c r="D159" s="306"/>
      <c r="E159" s="306"/>
      <c r="F159" s="306"/>
    </row>
    <row r="160" spans="1:6" ht="15.75">
      <c r="A160" s="306"/>
      <c r="B160" s="306"/>
      <c r="C160" s="306"/>
      <c r="D160" s="306"/>
      <c r="E160" s="306"/>
      <c r="F160" s="306"/>
    </row>
    <row r="161" spans="1:6" ht="15.75">
      <c r="A161" s="306"/>
      <c r="B161" s="306"/>
      <c r="C161" s="306"/>
      <c r="D161" s="306"/>
      <c r="E161" s="306"/>
      <c r="F161" s="306"/>
    </row>
    <row r="162" spans="1:6" ht="15.75">
      <c r="A162" s="306"/>
      <c r="B162" s="306"/>
      <c r="C162" s="306"/>
      <c r="D162" s="306"/>
      <c r="E162" s="306"/>
      <c r="F162" s="306"/>
    </row>
    <row r="163" spans="1:6" ht="15.75">
      <c r="A163" s="306"/>
      <c r="B163" s="306"/>
      <c r="C163" s="306"/>
      <c r="D163" s="306"/>
      <c r="E163" s="306"/>
      <c r="F163" s="306"/>
    </row>
    <row r="164" spans="1:6" ht="15.75">
      <c r="A164" s="306"/>
      <c r="B164" s="306"/>
      <c r="C164" s="306"/>
      <c r="D164" s="306"/>
      <c r="E164" s="306"/>
      <c r="F164" s="306"/>
    </row>
    <row r="165" spans="1:6" ht="15.75">
      <c r="A165" s="306"/>
      <c r="B165" s="306"/>
      <c r="C165" s="306"/>
      <c r="D165" s="306"/>
      <c r="E165" s="306"/>
      <c r="F165" s="306"/>
    </row>
    <row r="166" spans="1:6" ht="15.75">
      <c r="A166" s="306"/>
      <c r="B166" s="306"/>
      <c r="C166" s="306"/>
      <c r="D166" s="306"/>
      <c r="E166" s="306"/>
      <c r="F166" s="306"/>
    </row>
    <row r="167" spans="1:6" ht="15.75">
      <c r="A167" s="306"/>
      <c r="B167" s="306"/>
      <c r="C167" s="306"/>
      <c r="D167" s="306"/>
      <c r="E167" s="306"/>
      <c r="F167" s="306"/>
    </row>
    <row r="168" spans="1:6" ht="15.75">
      <c r="A168" s="306"/>
      <c r="B168" s="306"/>
      <c r="C168" s="306"/>
      <c r="D168" s="306"/>
      <c r="E168" s="306"/>
      <c r="F168" s="306"/>
    </row>
    <row r="169" spans="1:6" ht="15.75">
      <c r="A169" s="306"/>
      <c r="B169" s="306"/>
      <c r="C169" s="306"/>
      <c r="D169" s="306"/>
      <c r="E169" s="306"/>
      <c r="F169" s="306"/>
    </row>
    <row r="170" spans="1:6" ht="15.75">
      <c r="A170" s="306"/>
      <c r="B170" s="306"/>
      <c r="C170" s="306"/>
      <c r="D170" s="306"/>
      <c r="E170" s="306"/>
      <c r="F170" s="306"/>
    </row>
  </sheetData>
  <sheetProtection/>
  <mergeCells count="10">
    <mergeCell ref="D1:F1"/>
    <mergeCell ref="D2:F2"/>
    <mergeCell ref="D3:F3"/>
    <mergeCell ref="H7:S7"/>
    <mergeCell ref="A5:F5"/>
    <mergeCell ref="A7:A8"/>
    <mergeCell ref="B7:B8"/>
    <mergeCell ref="D7:D8"/>
    <mergeCell ref="E7:F7"/>
    <mergeCell ref="C7:C8"/>
  </mergeCells>
  <conditionalFormatting sqref="H100 E50:E63 E10:E48 F96 F101 F80:F81 E79:E118">
    <cfRule type="cellIs" priority="1" dxfId="2" operator="lessThan" stopIfTrue="1">
      <formula>F10</formula>
    </cfRule>
  </conditionalFormatting>
  <printOptions horizontalCentered="1"/>
  <pageMargins left="0.5118110236220472" right="0.3937007874015748" top="0.4724409448818898" bottom="0.3937007874015748" header="0.4724409448818898" footer="0.5118110236220472"/>
  <pageSetup fitToHeight="2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215"/>
  <sheetViews>
    <sheetView view="pageBreakPreview" zoomScale="70" zoomScaleNormal="75" zoomScaleSheetLayoutView="70" zoomScalePageLayoutView="0" workbookViewId="0" topLeftCell="A206">
      <selection activeCell="E75" sqref="A5:E86"/>
    </sheetView>
  </sheetViews>
  <sheetFormatPr defaultColWidth="9.00390625" defaultRowHeight="12.75"/>
  <cols>
    <col min="1" max="1" width="27.75390625" style="0" customWidth="1"/>
    <col min="2" max="2" width="59.625" style="436" customWidth="1"/>
    <col min="3" max="3" width="18.625" style="436" customWidth="1"/>
    <col min="4" max="4" width="17.00390625" style="436" customWidth="1"/>
    <col min="5" max="5" width="17.625" style="436" customWidth="1"/>
    <col min="6" max="6" width="10.75390625" style="0" hidden="1" customWidth="1"/>
    <col min="7" max="7" width="12.375" style="0" hidden="1" customWidth="1"/>
    <col min="8" max="8" width="13.25390625" style="0" hidden="1" customWidth="1"/>
    <col min="9" max="9" width="9.75390625" style="0" bestFit="1" customWidth="1"/>
  </cols>
  <sheetData>
    <row r="1" spans="1:5" ht="18.75">
      <c r="A1" s="215"/>
      <c r="B1" s="215"/>
      <c r="C1" s="783" t="s">
        <v>177</v>
      </c>
      <c r="D1" s="784"/>
      <c r="E1" s="115"/>
    </row>
    <row r="2" spans="1:5" ht="16.5">
      <c r="A2" s="216"/>
      <c r="B2" s="216"/>
      <c r="C2" s="783" t="s">
        <v>547</v>
      </c>
      <c r="D2" s="784"/>
      <c r="E2" s="784"/>
    </row>
    <row r="3" spans="1:5" ht="16.5">
      <c r="A3" s="216"/>
      <c r="B3" s="216"/>
      <c r="C3" s="783" t="str">
        <f>'Дод.1'!D3</f>
        <v>від                            №  </v>
      </c>
      <c r="D3" s="784"/>
      <c r="E3" s="784"/>
    </row>
    <row r="4" spans="1:5" ht="20.25">
      <c r="A4" s="779" t="s">
        <v>346</v>
      </c>
      <c r="B4" s="779"/>
      <c r="C4" s="779"/>
      <c r="D4" s="779"/>
      <c r="E4" s="779"/>
    </row>
    <row r="5" spans="1:5" ht="22.5">
      <c r="A5" s="201"/>
      <c r="B5" s="201"/>
      <c r="C5" s="201"/>
      <c r="D5" s="201"/>
      <c r="E5" s="193" t="s">
        <v>85</v>
      </c>
    </row>
    <row r="6" spans="1:5" ht="56.25">
      <c r="A6" s="196" t="s">
        <v>880</v>
      </c>
      <c r="B6" s="196" t="s">
        <v>876</v>
      </c>
      <c r="C6" s="196" t="s">
        <v>33</v>
      </c>
      <c r="D6" s="203" t="s">
        <v>326</v>
      </c>
      <c r="E6" s="203" t="s">
        <v>780</v>
      </c>
    </row>
    <row r="7" spans="1:5" ht="18.75">
      <c r="A7" s="196">
        <v>1</v>
      </c>
      <c r="B7" s="196">
        <v>2</v>
      </c>
      <c r="C7" s="196">
        <v>3</v>
      </c>
      <c r="D7" s="203">
        <v>4</v>
      </c>
      <c r="E7" s="203">
        <v>5</v>
      </c>
    </row>
    <row r="8" spans="1:5" ht="30.75" customHeight="1" hidden="1">
      <c r="A8" s="795" t="s">
        <v>813</v>
      </c>
      <c r="B8" s="716"/>
      <c r="C8" s="548">
        <f aca="true" t="shared" si="0" ref="C8:C50">D8+E8</f>
        <v>0</v>
      </c>
      <c r="D8" s="716"/>
      <c r="E8" s="716"/>
    </row>
    <row r="9" spans="1:5" ht="30.75" customHeight="1" hidden="1">
      <c r="A9" s="796"/>
      <c r="B9" s="716"/>
      <c r="C9" s="548">
        <f t="shared" si="0"/>
        <v>0</v>
      </c>
      <c r="D9" s="716"/>
      <c r="E9" s="716"/>
    </row>
    <row r="10" spans="1:5" ht="30.75" customHeight="1" hidden="1">
      <c r="A10" s="796"/>
      <c r="B10" s="716"/>
      <c r="C10" s="548">
        <f t="shared" si="0"/>
        <v>0</v>
      </c>
      <c r="D10" s="716"/>
      <c r="E10" s="716"/>
    </row>
    <row r="11" spans="1:5" ht="30.75" customHeight="1" hidden="1">
      <c r="A11" s="796"/>
      <c r="B11" s="716"/>
      <c r="C11" s="548">
        <f t="shared" si="0"/>
        <v>0</v>
      </c>
      <c r="D11" s="716"/>
      <c r="E11" s="716"/>
    </row>
    <row r="12" spans="1:5" ht="30.75" customHeight="1" hidden="1">
      <c r="A12" s="796"/>
      <c r="B12" s="716"/>
      <c r="C12" s="548">
        <f t="shared" si="0"/>
        <v>0</v>
      </c>
      <c r="D12" s="716"/>
      <c r="E12" s="716"/>
    </row>
    <row r="13" spans="1:5" ht="30.75" customHeight="1" hidden="1">
      <c r="A13" s="796"/>
      <c r="B13" s="716"/>
      <c r="C13" s="548">
        <f t="shared" si="0"/>
        <v>0</v>
      </c>
      <c r="D13" s="716"/>
      <c r="E13" s="716"/>
    </row>
    <row r="14" spans="1:5" ht="30.75" customHeight="1" hidden="1">
      <c r="A14" s="796"/>
      <c r="B14" s="716"/>
      <c r="C14" s="548">
        <f t="shared" si="0"/>
        <v>0</v>
      </c>
      <c r="D14" s="716"/>
      <c r="E14" s="716"/>
    </row>
    <row r="15" spans="1:5" ht="30.75" customHeight="1" hidden="1">
      <c r="A15" s="796"/>
      <c r="B15" s="716"/>
      <c r="C15" s="548">
        <f t="shared" si="0"/>
        <v>0</v>
      </c>
      <c r="D15" s="716"/>
      <c r="E15" s="716"/>
    </row>
    <row r="16" spans="1:5" ht="30.75" customHeight="1" hidden="1">
      <c r="A16" s="796"/>
      <c r="B16" s="716"/>
      <c r="C16" s="548">
        <f t="shared" si="0"/>
        <v>0</v>
      </c>
      <c r="D16" s="716"/>
      <c r="E16" s="716"/>
    </row>
    <row r="17" spans="1:5" ht="30.75" customHeight="1" hidden="1">
      <c r="A17" s="796"/>
      <c r="B17" s="716"/>
      <c r="C17" s="548">
        <f t="shared" si="0"/>
        <v>0</v>
      </c>
      <c r="D17" s="716"/>
      <c r="E17" s="716"/>
    </row>
    <row r="18" spans="1:5" ht="30.75" customHeight="1" hidden="1">
      <c r="A18" s="796"/>
      <c r="B18" s="716"/>
      <c r="C18" s="548">
        <f t="shared" si="0"/>
        <v>0</v>
      </c>
      <c r="D18" s="716"/>
      <c r="E18" s="716"/>
    </row>
    <row r="19" spans="1:5" ht="30.75" customHeight="1" hidden="1">
      <c r="A19" s="796"/>
      <c r="B19" s="716"/>
      <c r="C19" s="548">
        <f t="shared" si="0"/>
        <v>0</v>
      </c>
      <c r="D19" s="716"/>
      <c r="E19" s="716"/>
    </row>
    <row r="20" spans="1:5" ht="30.75" customHeight="1" hidden="1">
      <c r="A20" s="796"/>
      <c r="B20" s="716"/>
      <c r="C20" s="548">
        <f t="shared" si="0"/>
        <v>0</v>
      </c>
      <c r="D20" s="716"/>
      <c r="E20" s="716"/>
    </row>
    <row r="21" spans="1:5" ht="30.75" customHeight="1" hidden="1">
      <c r="A21" s="796"/>
      <c r="B21" s="716"/>
      <c r="C21" s="548">
        <f t="shared" si="0"/>
        <v>0</v>
      </c>
      <c r="D21" s="716"/>
      <c r="E21" s="716"/>
    </row>
    <row r="22" spans="1:5" ht="30.75" customHeight="1" hidden="1">
      <c r="A22" s="796"/>
      <c r="B22" s="716"/>
      <c r="C22" s="548">
        <f t="shared" si="0"/>
        <v>0</v>
      </c>
      <c r="D22" s="716"/>
      <c r="E22" s="716"/>
    </row>
    <row r="23" spans="1:5" ht="30.75" customHeight="1" hidden="1">
      <c r="A23" s="796"/>
      <c r="B23" s="716"/>
      <c r="C23" s="548">
        <f t="shared" si="0"/>
        <v>0</v>
      </c>
      <c r="D23" s="716"/>
      <c r="E23" s="716"/>
    </row>
    <row r="24" spans="1:5" ht="30.75" customHeight="1" hidden="1">
      <c r="A24" s="796"/>
      <c r="B24" s="716"/>
      <c r="C24" s="548">
        <f t="shared" si="0"/>
        <v>0</v>
      </c>
      <c r="D24" s="716"/>
      <c r="E24" s="716"/>
    </row>
    <row r="25" spans="1:5" ht="30.75" customHeight="1" hidden="1">
      <c r="A25" s="796"/>
      <c r="B25" s="716"/>
      <c r="C25" s="548">
        <f t="shared" si="0"/>
        <v>0</v>
      </c>
      <c r="D25" s="716"/>
      <c r="E25" s="716"/>
    </row>
    <row r="26" spans="1:5" ht="30.75" customHeight="1">
      <c r="A26" s="796"/>
      <c r="B26" s="373" t="s">
        <v>133</v>
      </c>
      <c r="C26" s="548">
        <f t="shared" si="0"/>
        <v>611209</v>
      </c>
      <c r="D26" s="112">
        <v>611209</v>
      </c>
      <c r="E26" s="112"/>
    </row>
    <row r="27" spans="1:5" ht="30.75" customHeight="1">
      <c r="A27" s="796"/>
      <c r="B27" s="717" t="s">
        <v>679</v>
      </c>
      <c r="C27" s="548">
        <f t="shared" si="0"/>
        <v>300000</v>
      </c>
      <c r="D27" s="112">
        <v>300000</v>
      </c>
      <c r="E27" s="112"/>
    </row>
    <row r="28" spans="1:5" ht="30.75" customHeight="1">
      <c r="A28" s="796"/>
      <c r="B28" s="717" t="s">
        <v>680</v>
      </c>
      <c r="C28" s="548">
        <f t="shared" si="0"/>
        <v>20000</v>
      </c>
      <c r="D28" s="112">
        <v>20000</v>
      </c>
      <c r="E28" s="112"/>
    </row>
    <row r="29" spans="1:5" ht="45" customHeight="1">
      <c r="A29" s="796"/>
      <c r="B29" s="717" t="s">
        <v>681</v>
      </c>
      <c r="C29" s="548">
        <f t="shared" si="0"/>
        <v>25000</v>
      </c>
      <c r="D29" s="112"/>
      <c r="E29" s="112">
        <v>25000</v>
      </c>
    </row>
    <row r="30" spans="1:5" ht="43.5" customHeight="1">
      <c r="A30" s="796"/>
      <c r="B30" s="717" t="s">
        <v>682</v>
      </c>
      <c r="C30" s="548">
        <f t="shared" si="0"/>
        <v>25000</v>
      </c>
      <c r="D30" s="112">
        <v>25000</v>
      </c>
      <c r="E30" s="112"/>
    </row>
    <row r="31" spans="1:5" ht="30.75" customHeight="1">
      <c r="A31" s="796"/>
      <c r="B31" s="717" t="s">
        <v>683</v>
      </c>
      <c r="C31" s="548">
        <f t="shared" si="0"/>
        <v>35000</v>
      </c>
      <c r="D31" s="112"/>
      <c r="E31" s="112">
        <v>35000</v>
      </c>
    </row>
    <row r="32" spans="1:5" ht="42.75" customHeight="1">
      <c r="A32" s="796"/>
      <c r="B32" s="717" t="s">
        <v>684</v>
      </c>
      <c r="C32" s="548">
        <f t="shared" si="0"/>
        <v>30000</v>
      </c>
      <c r="D32" s="112">
        <v>30000</v>
      </c>
      <c r="E32" s="112"/>
    </row>
    <row r="33" spans="1:5" ht="102.75" customHeight="1">
      <c r="A33" s="796"/>
      <c r="B33" s="717" t="s">
        <v>685</v>
      </c>
      <c r="C33" s="548">
        <f t="shared" si="0"/>
        <v>50000</v>
      </c>
      <c r="D33" s="112"/>
      <c r="E33" s="112">
        <v>50000</v>
      </c>
    </row>
    <row r="34" spans="1:5" ht="103.5" customHeight="1">
      <c r="A34" s="796"/>
      <c r="B34" s="717" t="s">
        <v>685</v>
      </c>
      <c r="C34" s="548">
        <f t="shared" si="0"/>
        <v>50000</v>
      </c>
      <c r="D34" s="112"/>
      <c r="E34" s="112">
        <v>50000</v>
      </c>
    </row>
    <row r="35" spans="1:5" ht="105" customHeight="1">
      <c r="A35" s="796"/>
      <c r="B35" s="717" t="s">
        <v>685</v>
      </c>
      <c r="C35" s="548">
        <f t="shared" si="0"/>
        <v>30000</v>
      </c>
      <c r="D35" s="112"/>
      <c r="E35" s="112">
        <v>30000</v>
      </c>
    </row>
    <row r="36" spans="1:5" ht="61.5" customHeight="1">
      <c r="A36" s="796"/>
      <c r="B36" s="717" t="s">
        <v>686</v>
      </c>
      <c r="C36" s="548">
        <f t="shared" si="0"/>
        <v>40000</v>
      </c>
      <c r="D36" s="112">
        <v>40000</v>
      </c>
      <c r="E36" s="112"/>
    </row>
    <row r="37" spans="1:5" ht="90.75" customHeight="1">
      <c r="A37" s="796"/>
      <c r="B37" s="717" t="s">
        <v>687</v>
      </c>
      <c r="C37" s="548">
        <f t="shared" si="0"/>
        <v>100000</v>
      </c>
      <c r="D37" s="112">
        <v>25000</v>
      </c>
      <c r="E37" s="112">
        <v>75000</v>
      </c>
    </row>
    <row r="38" spans="1:5" ht="82.5" customHeight="1">
      <c r="A38" s="796"/>
      <c r="B38" s="717" t="s">
        <v>688</v>
      </c>
      <c r="C38" s="548">
        <f t="shared" si="0"/>
        <v>100000</v>
      </c>
      <c r="D38" s="112">
        <v>30000</v>
      </c>
      <c r="E38" s="112">
        <v>70000</v>
      </c>
    </row>
    <row r="39" spans="1:5" ht="108.75" customHeight="1">
      <c r="A39" s="796"/>
      <c r="B39" s="373" t="s">
        <v>689</v>
      </c>
      <c r="C39" s="548">
        <f t="shared" si="0"/>
        <v>20000</v>
      </c>
      <c r="D39" s="112"/>
      <c r="E39" s="112">
        <v>20000</v>
      </c>
    </row>
    <row r="40" spans="1:5" ht="45" customHeight="1">
      <c r="A40" s="796"/>
      <c r="B40" s="373" t="s">
        <v>690</v>
      </c>
      <c r="C40" s="548">
        <f t="shared" si="0"/>
        <v>30000</v>
      </c>
      <c r="D40" s="994">
        <v>30000</v>
      </c>
      <c r="E40" s="994"/>
    </row>
    <row r="41" spans="1:5" ht="102.75" customHeight="1">
      <c r="A41" s="796"/>
      <c r="B41" s="373" t="s">
        <v>689</v>
      </c>
      <c r="C41" s="548">
        <f t="shared" si="0"/>
        <v>25000</v>
      </c>
      <c r="D41" s="112"/>
      <c r="E41" s="112">
        <v>25000</v>
      </c>
    </row>
    <row r="42" spans="1:5" ht="81" customHeight="1">
      <c r="A42" s="796"/>
      <c r="B42" s="373" t="s">
        <v>691</v>
      </c>
      <c r="C42" s="548">
        <f t="shared" si="0"/>
        <v>9917</v>
      </c>
      <c r="D42" s="112">
        <v>9917</v>
      </c>
      <c r="E42" s="112"/>
    </row>
    <row r="43" spans="1:5" ht="120.75" customHeight="1">
      <c r="A43" s="796"/>
      <c r="B43" s="373" t="s">
        <v>692</v>
      </c>
      <c r="C43" s="548">
        <f t="shared" si="0"/>
        <v>95000</v>
      </c>
      <c r="D43" s="112"/>
      <c r="E43" s="112">
        <v>95000</v>
      </c>
    </row>
    <row r="44" spans="1:5" ht="86.25" customHeight="1">
      <c r="A44" s="796"/>
      <c r="B44" s="373" t="s">
        <v>693</v>
      </c>
      <c r="C44" s="548">
        <f t="shared" si="0"/>
        <v>22195</v>
      </c>
      <c r="D44" s="112"/>
      <c r="E44" s="112">
        <v>22195</v>
      </c>
    </row>
    <row r="45" spans="1:5" ht="108" customHeight="1">
      <c r="A45" s="796"/>
      <c r="B45" s="373" t="s">
        <v>689</v>
      </c>
      <c r="C45" s="548">
        <f t="shared" si="0"/>
        <v>15000</v>
      </c>
      <c r="D45" s="159"/>
      <c r="E45" s="112">
        <v>15000</v>
      </c>
    </row>
    <row r="46" spans="1:5" ht="108" customHeight="1">
      <c r="A46" s="796"/>
      <c r="B46" s="373" t="s">
        <v>689</v>
      </c>
      <c r="C46" s="548">
        <f t="shared" si="0"/>
        <v>50000</v>
      </c>
      <c r="D46" s="112"/>
      <c r="E46" s="112">
        <v>50000</v>
      </c>
    </row>
    <row r="47" spans="1:5" ht="46.5" customHeight="1">
      <c r="A47" s="796"/>
      <c r="B47" s="373" t="s">
        <v>694</v>
      </c>
      <c r="C47" s="548">
        <f t="shared" si="0"/>
        <v>50000</v>
      </c>
      <c r="D47" s="159">
        <v>50000</v>
      </c>
      <c r="E47" s="112"/>
    </row>
    <row r="48" spans="1:5" ht="62.25" customHeight="1">
      <c r="A48" s="796"/>
      <c r="B48" s="219" t="s">
        <v>632</v>
      </c>
      <c r="C48" s="548">
        <f t="shared" si="0"/>
        <v>1000000</v>
      </c>
      <c r="D48" s="548"/>
      <c r="E48" s="112">
        <v>1000000</v>
      </c>
    </row>
    <row r="49" spans="1:5" ht="61.5" customHeight="1">
      <c r="A49" s="796"/>
      <c r="B49" s="220" t="s">
        <v>633</v>
      </c>
      <c r="C49" s="548">
        <f t="shared" si="0"/>
        <v>157700</v>
      </c>
      <c r="D49" s="548">
        <v>157700</v>
      </c>
      <c r="E49" s="112"/>
    </row>
    <row r="50" spans="1:5" ht="81" customHeight="1">
      <c r="A50" s="796"/>
      <c r="B50" s="220" t="s">
        <v>634</v>
      </c>
      <c r="C50" s="548">
        <f t="shared" si="0"/>
        <v>350000</v>
      </c>
      <c r="D50" s="548"/>
      <c r="E50" s="112">
        <v>350000</v>
      </c>
    </row>
    <row r="51" spans="1:7" ht="30.75" customHeight="1">
      <c r="A51" s="785"/>
      <c r="B51" s="481" t="s">
        <v>781</v>
      </c>
      <c r="C51" s="122">
        <f aca="true" t="shared" si="1" ref="C51:C58">D51+E51</f>
        <v>3241021</v>
      </c>
      <c r="D51" s="122">
        <f>SUM(D26:D50)</f>
        <v>1328826</v>
      </c>
      <c r="E51" s="122">
        <f>SUM(E26:E50)</f>
        <v>1912195</v>
      </c>
      <c r="F51" s="158"/>
      <c r="G51" s="158"/>
    </row>
    <row r="52" spans="1:5" ht="40.5" customHeight="1">
      <c r="A52" s="795" t="s">
        <v>721</v>
      </c>
      <c r="B52" s="220" t="s">
        <v>227</v>
      </c>
      <c r="C52" s="112">
        <f t="shared" si="1"/>
        <v>5998</v>
      </c>
      <c r="D52" s="112">
        <v>5998</v>
      </c>
      <c r="E52" s="112"/>
    </row>
    <row r="53" spans="1:5" ht="61.5" customHeight="1">
      <c r="A53" s="796"/>
      <c r="B53" s="220" t="s">
        <v>703</v>
      </c>
      <c r="C53" s="112">
        <f t="shared" si="1"/>
        <v>5543</v>
      </c>
      <c r="D53" s="112">
        <v>5543</v>
      </c>
      <c r="E53" s="112"/>
    </row>
    <row r="54" spans="1:5" ht="105.75" customHeight="1">
      <c r="A54" s="796"/>
      <c r="B54" s="220" t="s">
        <v>55</v>
      </c>
      <c r="C54" s="112">
        <f>D54+E54</f>
        <v>1800</v>
      </c>
      <c r="D54" s="112">
        <v>1800</v>
      </c>
      <c r="E54" s="112"/>
    </row>
    <row r="55" spans="1:5" ht="69" customHeight="1">
      <c r="A55" s="796"/>
      <c r="B55" s="220" t="s">
        <v>56</v>
      </c>
      <c r="C55" s="112">
        <f t="shared" si="1"/>
        <v>18210</v>
      </c>
      <c r="D55" s="112">
        <v>18210</v>
      </c>
      <c r="E55" s="112"/>
    </row>
    <row r="56" spans="1:5" ht="66.75" customHeight="1">
      <c r="A56" s="796"/>
      <c r="B56" s="667" t="s">
        <v>303</v>
      </c>
      <c r="C56" s="112">
        <f t="shared" si="1"/>
        <v>15000</v>
      </c>
      <c r="D56" s="112"/>
      <c r="E56" s="112">
        <v>15000</v>
      </c>
    </row>
    <row r="57" spans="1:5" ht="30.75" customHeight="1">
      <c r="A57" s="785"/>
      <c r="B57" s="481" t="s">
        <v>781</v>
      </c>
      <c r="C57" s="122">
        <f t="shared" si="1"/>
        <v>46551</v>
      </c>
      <c r="D57" s="122">
        <f>SUM(D52:D56)</f>
        <v>31551</v>
      </c>
      <c r="E57" s="122">
        <f>SUM(E52:E56)</f>
        <v>15000</v>
      </c>
    </row>
    <row r="58" spans="1:6" ht="30.75" customHeight="1" hidden="1">
      <c r="A58" s="795" t="s">
        <v>722</v>
      </c>
      <c r="B58" s="220"/>
      <c r="C58" s="112">
        <f t="shared" si="1"/>
        <v>0</v>
      </c>
      <c r="D58" s="112"/>
      <c r="E58" s="112"/>
      <c r="F58" s="158"/>
    </row>
    <row r="59" spans="1:5" ht="30.75" customHeight="1" hidden="1">
      <c r="A59" s="796"/>
      <c r="B59" s="220"/>
      <c r="C59" s="112">
        <f>D59+E59</f>
        <v>0</v>
      </c>
      <c r="D59" s="112"/>
      <c r="E59" s="112"/>
    </row>
    <row r="60" spans="1:7" ht="42" customHeight="1">
      <c r="A60" s="796"/>
      <c r="B60" s="220" t="s">
        <v>413</v>
      </c>
      <c r="C60" s="112">
        <f>D60+E60</f>
        <v>30547</v>
      </c>
      <c r="D60" s="112">
        <v>30547</v>
      </c>
      <c r="E60" s="112"/>
      <c r="G60" s="158">
        <f>D60</f>
        <v>30547</v>
      </c>
    </row>
    <row r="61" spans="1:5" ht="30.75" customHeight="1">
      <c r="A61" s="785"/>
      <c r="B61" s="481" t="s">
        <v>781</v>
      </c>
      <c r="C61" s="122">
        <f aca="true" t="shared" si="2" ref="C61:C70">D61+E61</f>
        <v>30547</v>
      </c>
      <c r="D61" s="122">
        <f>SUM(D58:D60)</f>
        <v>30547</v>
      </c>
      <c r="E61" s="122">
        <f>SUM(E58:E60)</f>
        <v>0</v>
      </c>
    </row>
    <row r="62" spans="1:5" ht="64.5" customHeight="1">
      <c r="A62" s="995" t="s">
        <v>723</v>
      </c>
      <c r="B62" s="220" t="s">
        <v>702</v>
      </c>
      <c r="C62" s="111">
        <f>D62+E62</f>
        <v>5000</v>
      </c>
      <c r="D62" s="111">
        <v>5000</v>
      </c>
      <c r="E62" s="111"/>
    </row>
    <row r="63" spans="1:5" ht="103.5" customHeight="1">
      <c r="A63" s="996"/>
      <c r="B63" s="220" t="s">
        <v>759</v>
      </c>
      <c r="C63" s="111">
        <f>D63+E63</f>
        <v>4000</v>
      </c>
      <c r="D63" s="111">
        <v>4000</v>
      </c>
      <c r="E63" s="111"/>
    </row>
    <row r="64" spans="1:5" ht="67.5" customHeight="1">
      <c r="A64" s="996"/>
      <c r="B64" s="220" t="s">
        <v>760</v>
      </c>
      <c r="C64" s="111">
        <f>D64+E64</f>
        <v>5377</v>
      </c>
      <c r="D64" s="111">
        <v>5377</v>
      </c>
      <c r="E64" s="111"/>
    </row>
    <row r="65" spans="1:8" ht="61.5" customHeight="1">
      <c r="A65" s="996"/>
      <c r="B65" s="220" t="s">
        <v>412</v>
      </c>
      <c r="C65" s="111">
        <f t="shared" si="2"/>
        <v>10000</v>
      </c>
      <c r="D65" s="111">
        <v>10000</v>
      </c>
      <c r="E65" s="111"/>
      <c r="H65" s="158">
        <f>D65</f>
        <v>10000</v>
      </c>
    </row>
    <row r="66" spans="1:5" ht="30.75" customHeight="1">
      <c r="A66" s="997"/>
      <c r="B66" s="481" t="s">
        <v>781</v>
      </c>
      <c r="C66" s="122">
        <f t="shared" si="2"/>
        <v>24377</v>
      </c>
      <c r="D66" s="122">
        <f>SUM(D62:D65)</f>
        <v>24377</v>
      </c>
      <c r="E66" s="122">
        <f>SUM(E62:E65)</f>
        <v>0</v>
      </c>
    </row>
    <row r="67" spans="1:5" ht="28.5" customHeight="1" hidden="1">
      <c r="A67" s="795" t="s">
        <v>139</v>
      </c>
      <c r="B67" s="220"/>
      <c r="C67" s="111">
        <f t="shared" si="2"/>
        <v>0</v>
      </c>
      <c r="D67" s="112"/>
      <c r="E67" s="112"/>
    </row>
    <row r="68" spans="1:5" ht="82.5" customHeight="1">
      <c r="A68" s="796"/>
      <c r="B68" s="429" t="s">
        <v>152</v>
      </c>
      <c r="C68" s="111">
        <f t="shared" si="2"/>
        <v>14221</v>
      </c>
      <c r="D68" s="112">
        <v>14221</v>
      </c>
      <c r="E68" s="112"/>
    </row>
    <row r="69" spans="1:5" ht="61.5" customHeight="1">
      <c r="A69" s="796"/>
      <c r="B69" s="429" t="s">
        <v>153</v>
      </c>
      <c r="C69" s="111">
        <f t="shared" si="2"/>
        <v>6000</v>
      </c>
      <c r="D69" s="112"/>
      <c r="E69" s="112">
        <v>6000</v>
      </c>
    </row>
    <row r="70" spans="1:5" ht="30.75" customHeight="1">
      <c r="A70" s="785"/>
      <c r="B70" s="481" t="s">
        <v>781</v>
      </c>
      <c r="C70" s="122">
        <f t="shared" si="2"/>
        <v>20221</v>
      </c>
      <c r="D70" s="122">
        <f>SUM(D67:D69)</f>
        <v>14221</v>
      </c>
      <c r="E70" s="122">
        <f>SUM(E67:E69)</f>
        <v>6000</v>
      </c>
    </row>
    <row r="71" spans="1:5" ht="30.75" customHeight="1" hidden="1">
      <c r="A71" s="795" t="s">
        <v>814</v>
      </c>
      <c r="B71" s="220"/>
      <c r="C71" s="112">
        <f aca="true" t="shared" si="3" ref="C71:C85">D71+E71</f>
        <v>0</v>
      </c>
      <c r="D71" s="112"/>
      <c r="E71" s="112"/>
    </row>
    <row r="72" spans="1:5" ht="30.75" customHeight="1" hidden="1">
      <c r="A72" s="796"/>
      <c r="B72" s="220"/>
      <c r="C72" s="112">
        <f t="shared" si="3"/>
        <v>0</v>
      </c>
      <c r="D72" s="112"/>
      <c r="E72" s="112"/>
    </row>
    <row r="73" spans="1:5" ht="30.75" customHeight="1" hidden="1">
      <c r="A73" s="796"/>
      <c r="B73" s="220"/>
      <c r="C73" s="112">
        <f>D73+E73</f>
        <v>0</v>
      </c>
      <c r="D73" s="112"/>
      <c r="E73" s="112"/>
    </row>
    <row r="74" spans="1:5" ht="65.25" customHeight="1">
      <c r="A74" s="796"/>
      <c r="B74" s="220" t="s">
        <v>704</v>
      </c>
      <c r="C74" s="112">
        <f>D74+E74</f>
        <v>43208</v>
      </c>
      <c r="D74" s="112">
        <v>43208</v>
      </c>
      <c r="E74" s="112"/>
    </row>
    <row r="75" spans="1:5" ht="63.75" customHeight="1">
      <c r="A75" s="796"/>
      <c r="B75" s="220" t="s">
        <v>705</v>
      </c>
      <c r="C75" s="112">
        <f>D75+E75</f>
        <v>415</v>
      </c>
      <c r="D75" s="112">
        <v>415</v>
      </c>
      <c r="E75" s="112"/>
    </row>
    <row r="76" spans="1:5" ht="105.75" customHeight="1">
      <c r="A76" s="796"/>
      <c r="B76" s="220" t="s">
        <v>706</v>
      </c>
      <c r="C76" s="112">
        <f>D76+E76</f>
        <v>50360</v>
      </c>
      <c r="D76" s="112">
        <v>50360</v>
      </c>
      <c r="E76" s="112"/>
    </row>
    <row r="77" spans="1:5" ht="68.25" customHeight="1">
      <c r="A77" s="796"/>
      <c r="B77" s="220" t="s">
        <v>709</v>
      </c>
      <c r="C77" s="112">
        <f t="shared" si="3"/>
        <v>100000</v>
      </c>
      <c r="D77" s="112"/>
      <c r="E77" s="112">
        <v>100000</v>
      </c>
    </row>
    <row r="78" spans="1:5" ht="63" customHeight="1">
      <c r="A78" s="796"/>
      <c r="B78" s="220" t="s">
        <v>304</v>
      </c>
      <c r="C78" s="112">
        <f t="shared" si="3"/>
        <v>8700</v>
      </c>
      <c r="D78" s="112"/>
      <c r="E78" s="112">
        <v>8700</v>
      </c>
    </row>
    <row r="79" spans="1:5" ht="44.25" customHeight="1">
      <c r="A79" s="796"/>
      <c r="B79" s="220" t="s">
        <v>377</v>
      </c>
      <c r="C79" s="112">
        <f t="shared" si="3"/>
        <v>143946</v>
      </c>
      <c r="D79" s="112">
        <v>143946</v>
      </c>
      <c r="E79" s="112"/>
    </row>
    <row r="80" spans="1:5" ht="72" customHeight="1">
      <c r="A80" s="796"/>
      <c r="B80" s="220" t="s">
        <v>378</v>
      </c>
      <c r="C80" s="112">
        <f t="shared" si="3"/>
        <v>22180</v>
      </c>
      <c r="D80" s="112">
        <v>22180</v>
      </c>
      <c r="E80" s="112"/>
    </row>
    <row r="81" spans="1:5" ht="66" customHeight="1">
      <c r="A81" s="796"/>
      <c r="B81" s="220" t="s">
        <v>376</v>
      </c>
      <c r="C81" s="112">
        <f t="shared" si="3"/>
        <v>142187</v>
      </c>
      <c r="D81" s="112">
        <v>142187</v>
      </c>
      <c r="E81" s="112"/>
    </row>
    <row r="82" spans="1:5" ht="83.25" customHeight="1">
      <c r="A82" s="796"/>
      <c r="B82" s="220" t="s">
        <v>375</v>
      </c>
      <c r="C82" s="112">
        <f t="shared" si="3"/>
        <v>307036</v>
      </c>
      <c r="D82" s="112">
        <v>307036</v>
      </c>
      <c r="E82" s="112"/>
    </row>
    <row r="83" spans="1:5" ht="123" customHeight="1">
      <c r="A83" s="796"/>
      <c r="B83" s="220" t="s">
        <v>374</v>
      </c>
      <c r="C83" s="112">
        <f t="shared" si="3"/>
        <v>29878</v>
      </c>
      <c r="D83" s="112">
        <v>29878</v>
      </c>
      <c r="E83" s="112"/>
    </row>
    <row r="84" spans="1:5" ht="69.75" customHeight="1">
      <c r="A84" s="796"/>
      <c r="B84" s="220" t="s">
        <v>371</v>
      </c>
      <c r="C84" s="112">
        <f t="shared" si="3"/>
        <v>564</v>
      </c>
      <c r="D84" s="112">
        <v>564</v>
      </c>
      <c r="E84" s="112"/>
    </row>
    <row r="85" spans="1:5" ht="67.5" customHeight="1">
      <c r="A85" s="796"/>
      <c r="B85" s="220" t="s">
        <v>372</v>
      </c>
      <c r="C85" s="112">
        <f t="shared" si="3"/>
        <v>17885</v>
      </c>
      <c r="D85" s="112">
        <v>17885</v>
      </c>
      <c r="E85" s="112"/>
    </row>
    <row r="86" spans="1:5" ht="30.75" customHeight="1">
      <c r="A86" s="785"/>
      <c r="B86" s="481" t="s">
        <v>781</v>
      </c>
      <c r="C86" s="122">
        <f aca="true" t="shared" si="4" ref="C86:C100">D86+E86</f>
        <v>866359</v>
      </c>
      <c r="D86" s="122">
        <f>SUM(D71:D85)</f>
        <v>757659</v>
      </c>
      <c r="E86" s="122">
        <f>SUM(E71:E85)</f>
        <v>108700</v>
      </c>
    </row>
    <row r="87" spans="1:5" ht="30.75" customHeight="1" hidden="1">
      <c r="A87" s="788" t="s">
        <v>280</v>
      </c>
      <c r="B87" s="220"/>
      <c r="C87" s="479">
        <f t="shared" si="4"/>
        <v>0</v>
      </c>
      <c r="D87" s="112"/>
      <c r="E87" s="112"/>
    </row>
    <row r="88" spans="1:5" ht="30.75" customHeight="1" hidden="1">
      <c r="A88" s="789"/>
      <c r="B88" s="220"/>
      <c r="C88" s="479">
        <f t="shared" si="4"/>
        <v>0</v>
      </c>
      <c r="D88" s="112"/>
      <c r="E88" s="112"/>
    </row>
    <row r="89" spans="1:5" ht="30.75" customHeight="1" hidden="1">
      <c r="A89" s="789"/>
      <c r="B89" s="220"/>
      <c r="C89" s="479">
        <f t="shared" si="4"/>
        <v>0</v>
      </c>
      <c r="D89" s="112"/>
      <c r="E89" s="112"/>
    </row>
    <row r="90" spans="1:5" ht="30.75" customHeight="1" hidden="1">
      <c r="A90" s="780"/>
      <c r="B90" s="481" t="s">
        <v>781</v>
      </c>
      <c r="C90" s="122">
        <f t="shared" si="4"/>
        <v>0</v>
      </c>
      <c r="D90" s="614">
        <f>SUM(D87:D89)</f>
        <v>0</v>
      </c>
      <c r="E90" s="614">
        <f>SUM(E87:E89)</f>
        <v>0</v>
      </c>
    </row>
    <row r="91" spans="1:5" ht="30.75" customHeight="1" hidden="1">
      <c r="A91" s="795" t="s">
        <v>728</v>
      </c>
      <c r="B91" s="220"/>
      <c r="C91" s="479">
        <f t="shared" si="4"/>
        <v>0</v>
      </c>
      <c r="D91" s="479"/>
      <c r="E91" s="479"/>
    </row>
    <row r="92" spans="1:5" ht="30.75" customHeight="1" hidden="1">
      <c r="A92" s="796"/>
      <c r="B92" s="220"/>
      <c r="C92" s="479">
        <f t="shared" si="4"/>
        <v>0</v>
      </c>
      <c r="D92" s="479"/>
      <c r="E92" s="479"/>
    </row>
    <row r="93" spans="1:5" ht="45" customHeight="1">
      <c r="A93" s="796"/>
      <c r="B93" s="220" t="s">
        <v>710</v>
      </c>
      <c r="C93" s="479">
        <f t="shared" si="4"/>
        <v>15000</v>
      </c>
      <c r="D93" s="479"/>
      <c r="E93" s="479">
        <v>15000</v>
      </c>
    </row>
    <row r="94" spans="1:5" ht="44.25" customHeight="1">
      <c r="A94" s="796"/>
      <c r="B94" s="220" t="s">
        <v>711</v>
      </c>
      <c r="C94" s="479">
        <f t="shared" si="4"/>
        <v>20000</v>
      </c>
      <c r="D94" s="479"/>
      <c r="E94" s="479">
        <v>20000</v>
      </c>
    </row>
    <row r="95" spans="1:5" ht="43.5" customHeight="1">
      <c r="A95" s="796"/>
      <c r="B95" s="220" t="s">
        <v>712</v>
      </c>
      <c r="C95" s="479">
        <f t="shared" si="4"/>
        <v>15000</v>
      </c>
      <c r="D95" s="479">
        <v>15000</v>
      </c>
      <c r="E95" s="479"/>
    </row>
    <row r="96" spans="1:5" ht="125.25" customHeight="1">
      <c r="A96" s="796"/>
      <c r="B96" s="220" t="s">
        <v>58</v>
      </c>
      <c r="C96" s="479">
        <f>D96+E96</f>
        <v>66000</v>
      </c>
      <c r="D96" s="479">
        <v>66000</v>
      </c>
      <c r="E96" s="479"/>
    </row>
    <row r="97" spans="1:5" ht="30.75" customHeight="1">
      <c r="A97" s="785"/>
      <c r="B97" s="481" t="s">
        <v>781</v>
      </c>
      <c r="C97" s="122">
        <f t="shared" si="4"/>
        <v>116000</v>
      </c>
      <c r="D97" s="614">
        <f>SUM(D91:D96)</f>
        <v>81000</v>
      </c>
      <c r="E97" s="614">
        <f>SUM(E91:E96)</f>
        <v>35000</v>
      </c>
    </row>
    <row r="98" spans="1:5" ht="46.5" customHeight="1">
      <c r="A98" s="795" t="s">
        <v>731</v>
      </c>
      <c r="B98" s="220" t="s">
        <v>59</v>
      </c>
      <c r="C98" s="479">
        <f t="shared" si="4"/>
        <v>2949</v>
      </c>
      <c r="D98" s="112">
        <v>2949</v>
      </c>
      <c r="E98" s="122"/>
    </row>
    <row r="99" spans="1:5" ht="58.5" customHeight="1">
      <c r="A99" s="796"/>
      <c r="B99" s="220" t="s">
        <v>557</v>
      </c>
      <c r="C99" s="479">
        <f t="shared" si="4"/>
        <v>12727</v>
      </c>
      <c r="D99" s="112">
        <v>12727</v>
      </c>
      <c r="E99" s="122"/>
    </row>
    <row r="100" spans="1:5" ht="48" customHeight="1">
      <c r="A100" s="796"/>
      <c r="B100" s="220" t="s">
        <v>57</v>
      </c>
      <c r="C100" s="479">
        <f t="shared" si="4"/>
        <v>5000</v>
      </c>
      <c r="D100" s="112"/>
      <c r="E100" s="112">
        <v>5000</v>
      </c>
    </row>
    <row r="101" spans="1:5" ht="30.75" customHeight="1">
      <c r="A101" s="785"/>
      <c r="B101" s="481" t="s">
        <v>781</v>
      </c>
      <c r="C101" s="122">
        <f aca="true" t="shared" si="5" ref="C101:C169">D101+E101</f>
        <v>20676</v>
      </c>
      <c r="D101" s="122">
        <f>SUM(D98:D100)</f>
        <v>15676</v>
      </c>
      <c r="E101" s="122">
        <f>SUM(E98:E100)</f>
        <v>5000</v>
      </c>
    </row>
    <row r="102" spans="1:5" ht="30.75" customHeight="1" hidden="1">
      <c r="A102" s="788" t="s">
        <v>283</v>
      </c>
      <c r="B102" s="220"/>
      <c r="C102" s="479">
        <f t="shared" si="5"/>
        <v>0</v>
      </c>
      <c r="D102" s="112"/>
      <c r="E102" s="112"/>
    </row>
    <row r="103" spans="1:5" ht="30.75" customHeight="1" hidden="1">
      <c r="A103" s="789"/>
      <c r="B103" s="220"/>
      <c r="C103" s="479">
        <f>D103+E103</f>
        <v>0</v>
      </c>
      <c r="D103" s="112"/>
      <c r="E103" s="112"/>
    </row>
    <row r="104" spans="1:5" ht="30.75" customHeight="1" hidden="1">
      <c r="A104" s="789"/>
      <c r="B104" s="220"/>
      <c r="C104" s="479">
        <f t="shared" si="5"/>
        <v>0</v>
      </c>
      <c r="D104" s="112"/>
      <c r="E104" s="112"/>
    </row>
    <row r="105" spans="1:5" ht="30.75" customHeight="1" hidden="1">
      <c r="A105" s="790"/>
      <c r="B105" s="615" t="s">
        <v>781</v>
      </c>
      <c r="C105" s="122">
        <f t="shared" si="5"/>
        <v>0</v>
      </c>
      <c r="D105" s="614">
        <f>SUM(D102:D104)</f>
        <v>0</v>
      </c>
      <c r="E105" s="614">
        <f>SUM(E102:E104)</f>
        <v>0</v>
      </c>
    </row>
    <row r="106" spans="1:10" ht="30.75" customHeight="1" hidden="1">
      <c r="A106" s="795" t="s">
        <v>730</v>
      </c>
      <c r="B106" s="220"/>
      <c r="C106" s="479">
        <f t="shared" si="5"/>
        <v>0</v>
      </c>
      <c r="D106" s="162"/>
      <c r="E106" s="162"/>
      <c r="H106" s="242"/>
      <c r="I106" s="87"/>
      <c r="J106" s="87"/>
    </row>
    <row r="107" spans="1:10" ht="30.75" customHeight="1" hidden="1">
      <c r="A107" s="796"/>
      <c r="B107" s="220"/>
      <c r="C107" s="479">
        <f t="shared" si="5"/>
        <v>0</v>
      </c>
      <c r="D107" s="162"/>
      <c r="E107" s="162"/>
      <c r="H107" s="242"/>
      <c r="I107" s="87"/>
      <c r="J107" s="87"/>
    </row>
    <row r="108" spans="1:10" ht="30.75" customHeight="1" hidden="1">
      <c r="A108" s="796"/>
      <c r="B108" s="220"/>
      <c r="C108" s="479">
        <f t="shared" si="5"/>
        <v>0</v>
      </c>
      <c r="D108" s="162"/>
      <c r="E108" s="162"/>
      <c r="H108" s="242"/>
      <c r="I108" s="87"/>
      <c r="J108" s="87"/>
    </row>
    <row r="109" spans="1:10" ht="30.75" customHeight="1" hidden="1">
      <c r="A109" s="796"/>
      <c r="B109" s="220"/>
      <c r="C109" s="479">
        <f>D109+E109</f>
        <v>0</v>
      </c>
      <c r="D109" s="162"/>
      <c r="E109" s="162"/>
      <c r="H109" s="242"/>
      <c r="I109" s="87"/>
      <c r="J109" s="87"/>
    </row>
    <row r="110" spans="1:10" ht="30.75" customHeight="1" hidden="1">
      <c r="A110" s="796"/>
      <c r="B110" s="220"/>
      <c r="C110" s="479">
        <f t="shared" si="5"/>
        <v>0</v>
      </c>
      <c r="D110" s="162"/>
      <c r="E110" s="162"/>
      <c r="H110" s="242"/>
      <c r="I110" s="87"/>
      <c r="J110" s="87"/>
    </row>
    <row r="111" spans="1:10" ht="30.75" customHeight="1" hidden="1">
      <c r="A111" s="796"/>
      <c r="B111" s="220"/>
      <c r="C111" s="479">
        <f t="shared" si="5"/>
        <v>0</v>
      </c>
      <c r="D111" s="162"/>
      <c r="E111" s="162"/>
      <c r="H111" s="242"/>
      <c r="I111" s="87"/>
      <c r="J111" s="87"/>
    </row>
    <row r="112" spans="1:10" ht="30.75" customHeight="1" hidden="1">
      <c r="A112" s="796"/>
      <c r="B112" s="220"/>
      <c r="C112" s="479">
        <f t="shared" si="5"/>
        <v>0</v>
      </c>
      <c r="D112" s="162"/>
      <c r="E112" s="162"/>
      <c r="H112" s="242"/>
      <c r="I112" s="87"/>
      <c r="J112" s="87"/>
    </row>
    <row r="113" spans="1:10" ht="30.75" customHeight="1" hidden="1">
      <c r="A113" s="796"/>
      <c r="B113" s="220"/>
      <c r="C113" s="479">
        <f t="shared" si="5"/>
        <v>0</v>
      </c>
      <c r="D113" s="162"/>
      <c r="E113" s="162"/>
      <c r="H113" s="242"/>
      <c r="I113" s="87"/>
      <c r="J113" s="87"/>
    </row>
    <row r="114" spans="1:10" ht="30.75" customHeight="1" hidden="1">
      <c r="A114" s="796"/>
      <c r="B114" s="220"/>
      <c r="C114" s="479">
        <f t="shared" si="5"/>
        <v>0</v>
      </c>
      <c r="D114" s="162"/>
      <c r="E114" s="162"/>
      <c r="H114" s="242"/>
      <c r="I114" s="87"/>
      <c r="J114" s="87"/>
    </row>
    <row r="115" spans="1:10" ht="30.75" customHeight="1" hidden="1">
      <c r="A115" s="796"/>
      <c r="B115" s="220"/>
      <c r="C115" s="479">
        <f t="shared" si="5"/>
        <v>0</v>
      </c>
      <c r="D115" s="162"/>
      <c r="E115" s="162"/>
      <c r="H115" s="242"/>
      <c r="I115" s="87"/>
      <c r="J115" s="87"/>
    </row>
    <row r="116" spans="1:10" ht="65.25" customHeight="1">
      <c r="A116" s="796"/>
      <c r="B116" s="220" t="s">
        <v>697</v>
      </c>
      <c r="C116" s="479">
        <f t="shared" si="5"/>
        <v>100000</v>
      </c>
      <c r="D116" s="162"/>
      <c r="E116" s="162">
        <v>100000</v>
      </c>
      <c r="H116" s="242"/>
      <c r="I116" s="87"/>
      <c r="J116" s="87"/>
    </row>
    <row r="117" spans="1:10" ht="68.25" customHeight="1">
      <c r="A117" s="796"/>
      <c r="B117" s="220" t="s">
        <v>698</v>
      </c>
      <c r="C117" s="479">
        <f t="shared" si="5"/>
        <v>20000</v>
      </c>
      <c r="D117" s="162">
        <v>20000</v>
      </c>
      <c r="E117" s="162"/>
      <c r="H117" s="242"/>
      <c r="I117" s="87"/>
      <c r="J117" s="87"/>
    </row>
    <row r="118" spans="1:10" ht="45" customHeight="1">
      <c r="A118" s="796"/>
      <c r="B118" s="220" t="s">
        <v>699</v>
      </c>
      <c r="C118" s="479">
        <f>D118+E118</f>
        <v>64000</v>
      </c>
      <c r="D118" s="162">
        <v>64000</v>
      </c>
      <c r="E118" s="162"/>
      <c r="H118" s="242"/>
      <c r="I118" s="87"/>
      <c r="J118" s="87"/>
    </row>
    <row r="119" spans="1:10" ht="52.5" customHeight="1">
      <c r="A119" s="796"/>
      <c r="B119" s="220" t="s">
        <v>700</v>
      </c>
      <c r="C119" s="479">
        <f>D119+E119</f>
        <v>1750</v>
      </c>
      <c r="D119" s="162">
        <v>1750</v>
      </c>
      <c r="E119" s="162"/>
      <c r="H119" s="242"/>
      <c r="I119" s="87"/>
      <c r="J119" s="87"/>
    </row>
    <row r="120" spans="1:10" ht="50.25" customHeight="1">
      <c r="A120" s="796"/>
      <c r="B120" s="220" t="s">
        <v>701</v>
      </c>
      <c r="C120" s="479">
        <f>D120+E120</f>
        <v>6000</v>
      </c>
      <c r="D120" s="162">
        <v>6000</v>
      </c>
      <c r="E120" s="162"/>
      <c r="H120" s="242"/>
      <c r="I120" s="87"/>
      <c r="J120" s="87"/>
    </row>
    <row r="121" spans="1:10" ht="81.75" customHeight="1">
      <c r="A121" s="796"/>
      <c r="B121" s="220" t="s">
        <v>225</v>
      </c>
      <c r="C121" s="479">
        <f>D121+E121</f>
        <v>56573</v>
      </c>
      <c r="D121" s="162">
        <v>18573</v>
      </c>
      <c r="E121" s="162">
        <v>38000</v>
      </c>
      <c r="H121" s="242"/>
      <c r="I121" s="87"/>
      <c r="J121" s="87"/>
    </row>
    <row r="122" spans="1:10" ht="42.75" customHeight="1">
      <c r="A122" s="796"/>
      <c r="B122" s="220" t="s">
        <v>226</v>
      </c>
      <c r="C122" s="479">
        <f>D122+E122</f>
        <v>60000</v>
      </c>
      <c r="D122" s="162"/>
      <c r="E122" s="162">
        <v>60000</v>
      </c>
      <c r="H122" s="242"/>
      <c r="I122" s="87"/>
      <c r="J122" s="87"/>
    </row>
    <row r="123" spans="1:10" ht="83.25" customHeight="1">
      <c r="A123" s="796"/>
      <c r="B123" s="220" t="s">
        <v>714</v>
      </c>
      <c r="C123" s="479">
        <f t="shared" si="5"/>
        <v>100000</v>
      </c>
      <c r="D123" s="162">
        <v>100000</v>
      </c>
      <c r="E123" s="162"/>
      <c r="H123" s="242"/>
      <c r="I123" s="87"/>
      <c r="J123" s="87"/>
    </row>
    <row r="124" spans="1:10" ht="84" customHeight="1">
      <c r="A124" s="796"/>
      <c r="B124" s="220" t="s">
        <v>715</v>
      </c>
      <c r="C124" s="479">
        <f t="shared" si="5"/>
        <v>37864</v>
      </c>
      <c r="D124" s="162">
        <v>37864</v>
      </c>
      <c r="E124" s="162"/>
      <c r="H124" s="242"/>
      <c r="I124" s="87"/>
      <c r="J124" s="87"/>
    </row>
    <row r="125" spans="1:5" ht="66.75" customHeight="1">
      <c r="A125" s="781"/>
      <c r="B125" s="220" t="s">
        <v>305</v>
      </c>
      <c r="C125" s="479">
        <f t="shared" si="5"/>
        <v>100000</v>
      </c>
      <c r="D125" s="162"/>
      <c r="E125" s="162">
        <v>100000</v>
      </c>
    </row>
    <row r="126" spans="1:5" ht="33" customHeight="1">
      <c r="A126" s="782"/>
      <c r="B126" s="615" t="s">
        <v>781</v>
      </c>
      <c r="C126" s="122">
        <f>D126+E126</f>
        <v>546187</v>
      </c>
      <c r="D126" s="616">
        <f>SUM(D106:D125)</f>
        <v>248187</v>
      </c>
      <c r="E126" s="616">
        <f>SUM(E106:E125)</f>
        <v>298000</v>
      </c>
    </row>
    <row r="127" spans="1:7" ht="84.75" customHeight="1">
      <c r="A127" s="795" t="s">
        <v>732</v>
      </c>
      <c r="B127" s="473" t="s">
        <v>707</v>
      </c>
      <c r="C127" s="479">
        <f t="shared" si="5"/>
        <v>2520</v>
      </c>
      <c r="D127" s="162">
        <v>2520</v>
      </c>
      <c r="E127" s="162"/>
      <c r="G127" s="158">
        <f>D127</f>
        <v>2520</v>
      </c>
    </row>
    <row r="128" spans="1:7" ht="84.75" customHeight="1">
      <c r="A128" s="796"/>
      <c r="B128" s="473" t="s">
        <v>708</v>
      </c>
      <c r="C128" s="479">
        <f t="shared" si="5"/>
        <v>21000</v>
      </c>
      <c r="D128" s="162">
        <v>21000</v>
      </c>
      <c r="E128" s="162"/>
      <c r="G128" s="158"/>
    </row>
    <row r="129" spans="1:7" ht="42.75" customHeight="1">
      <c r="A129" s="796"/>
      <c r="B129" s="473" t="s">
        <v>411</v>
      </c>
      <c r="C129" s="479">
        <f>D129+E129</f>
        <v>15000</v>
      </c>
      <c r="D129" s="162">
        <v>15000</v>
      </c>
      <c r="E129" s="162"/>
      <c r="G129" s="158"/>
    </row>
    <row r="130" spans="1:5" ht="30.75" customHeight="1">
      <c r="A130" s="785"/>
      <c r="B130" s="615" t="s">
        <v>781</v>
      </c>
      <c r="C130" s="122">
        <f t="shared" si="5"/>
        <v>38520</v>
      </c>
      <c r="D130" s="616">
        <f>SUM(D127:D129)</f>
        <v>38520</v>
      </c>
      <c r="E130" s="616">
        <f>SUM(E127:E129)</f>
        <v>0</v>
      </c>
    </row>
    <row r="131" spans="1:5" ht="30.75" customHeight="1" hidden="1">
      <c r="A131" s="795" t="s">
        <v>816</v>
      </c>
      <c r="B131" s="220"/>
      <c r="C131" s="479">
        <f t="shared" si="5"/>
        <v>0</v>
      </c>
      <c r="D131" s="479"/>
      <c r="E131" s="479"/>
    </row>
    <row r="132" spans="1:5" ht="30.75" customHeight="1" hidden="1">
      <c r="A132" s="796"/>
      <c r="B132" s="220"/>
      <c r="C132" s="479">
        <f t="shared" si="5"/>
        <v>0</v>
      </c>
      <c r="D132" s="479"/>
      <c r="E132" s="479"/>
    </row>
    <row r="133" spans="1:5" ht="30.75" customHeight="1" hidden="1">
      <c r="A133" s="796"/>
      <c r="B133" s="220"/>
      <c r="C133" s="479">
        <f t="shared" si="5"/>
        <v>0</v>
      </c>
      <c r="D133" s="479"/>
      <c r="E133" s="479"/>
    </row>
    <row r="134" spans="1:5" ht="30.75" customHeight="1" hidden="1">
      <c r="A134" s="796"/>
      <c r="B134" s="220"/>
      <c r="C134" s="479">
        <f t="shared" si="5"/>
        <v>0</v>
      </c>
      <c r="D134" s="479"/>
      <c r="E134" s="479"/>
    </row>
    <row r="135" spans="1:5" ht="30.75" customHeight="1" hidden="1">
      <c r="A135" s="796"/>
      <c r="B135" s="220"/>
      <c r="C135" s="479">
        <f>D135+E135</f>
        <v>0</v>
      </c>
      <c r="D135" s="479"/>
      <c r="E135" s="479"/>
    </row>
    <row r="136" spans="1:5" ht="30.75" customHeight="1" hidden="1">
      <c r="A136" s="796"/>
      <c r="B136" s="220"/>
      <c r="C136" s="479">
        <f t="shared" si="5"/>
        <v>0</v>
      </c>
      <c r="D136" s="479"/>
      <c r="E136" s="479"/>
    </row>
    <row r="137" spans="1:5" ht="30.75" customHeight="1" hidden="1">
      <c r="A137" s="796"/>
      <c r="B137" s="220"/>
      <c r="C137" s="479">
        <f t="shared" si="5"/>
        <v>0</v>
      </c>
      <c r="D137" s="479"/>
      <c r="E137" s="479"/>
    </row>
    <row r="138" spans="1:5" ht="30.75" customHeight="1" hidden="1">
      <c r="A138" s="796"/>
      <c r="B138" s="220"/>
      <c r="C138" s="479">
        <f t="shared" si="5"/>
        <v>0</v>
      </c>
      <c r="D138" s="479"/>
      <c r="E138" s="479"/>
    </row>
    <row r="139" spans="1:5" ht="30.75" customHeight="1" hidden="1">
      <c r="A139" s="796"/>
      <c r="B139" s="220"/>
      <c r="C139" s="479">
        <f t="shared" si="5"/>
        <v>0</v>
      </c>
      <c r="D139" s="479"/>
      <c r="E139" s="479"/>
    </row>
    <row r="140" spans="1:5" ht="30.75" customHeight="1" hidden="1">
      <c r="A140" s="796"/>
      <c r="B140" s="220"/>
      <c r="C140" s="479">
        <f t="shared" si="5"/>
        <v>0</v>
      </c>
      <c r="D140" s="479"/>
      <c r="E140" s="479"/>
    </row>
    <row r="141" spans="1:5" ht="30.75" customHeight="1" hidden="1">
      <c r="A141" s="796"/>
      <c r="B141" s="617"/>
      <c r="C141" s="479">
        <f t="shared" si="5"/>
        <v>0</v>
      </c>
      <c r="D141" s="479"/>
      <c r="E141" s="479"/>
    </row>
    <row r="142" spans="1:5" ht="38.25" customHeight="1" hidden="1">
      <c r="A142" s="796"/>
      <c r="B142" s="220"/>
      <c r="C142" s="479">
        <f t="shared" si="5"/>
        <v>0</v>
      </c>
      <c r="D142" s="479"/>
      <c r="E142" s="479"/>
    </row>
    <row r="143" spans="1:5" ht="58.5" customHeight="1">
      <c r="A143" s="796"/>
      <c r="B143" s="220" t="s">
        <v>218</v>
      </c>
      <c r="C143" s="479">
        <f t="shared" si="5"/>
        <v>15000</v>
      </c>
      <c r="D143" s="479">
        <v>15000</v>
      </c>
      <c r="E143" s="479"/>
    </row>
    <row r="144" spans="1:5" ht="83.25" customHeight="1">
      <c r="A144" s="796"/>
      <c r="B144" s="220" t="s">
        <v>113</v>
      </c>
      <c r="C144" s="479">
        <f t="shared" si="5"/>
        <v>255000</v>
      </c>
      <c r="D144" s="480">
        <v>255000</v>
      </c>
      <c r="E144" s="480"/>
    </row>
    <row r="145" spans="1:5" ht="67.5" customHeight="1">
      <c r="A145" s="796"/>
      <c r="B145" s="220" t="s">
        <v>114</v>
      </c>
      <c r="C145" s="479">
        <f t="shared" si="5"/>
        <v>15000</v>
      </c>
      <c r="D145" s="480"/>
      <c r="E145" s="480">
        <v>15000</v>
      </c>
    </row>
    <row r="146" spans="1:5" ht="84.75" customHeight="1">
      <c r="A146" s="796"/>
      <c r="B146" s="220" t="s">
        <v>115</v>
      </c>
      <c r="C146" s="479">
        <f t="shared" si="5"/>
        <v>10000</v>
      </c>
      <c r="D146" s="480">
        <v>10000</v>
      </c>
      <c r="E146" s="480"/>
    </row>
    <row r="147" spans="1:5" ht="66.75" customHeight="1">
      <c r="A147" s="796"/>
      <c r="B147" s="220" t="s">
        <v>116</v>
      </c>
      <c r="C147" s="479">
        <f t="shared" si="5"/>
        <v>15000</v>
      </c>
      <c r="D147" s="480"/>
      <c r="E147" s="480">
        <v>15000</v>
      </c>
    </row>
    <row r="148" spans="1:5" ht="67.5" customHeight="1">
      <c r="A148" s="796"/>
      <c r="B148" s="220" t="s">
        <v>641</v>
      </c>
      <c r="C148" s="479">
        <f>D148+E148</f>
        <v>15000</v>
      </c>
      <c r="D148" s="480">
        <v>15000</v>
      </c>
      <c r="E148" s="480"/>
    </row>
    <row r="149" spans="1:5" ht="87.75" customHeight="1">
      <c r="A149" s="796"/>
      <c r="B149" s="220" t="s">
        <v>954</v>
      </c>
      <c r="C149" s="479">
        <f>D149+E149</f>
        <v>18000</v>
      </c>
      <c r="D149" s="480">
        <v>18000</v>
      </c>
      <c r="E149" s="480"/>
    </row>
    <row r="150" spans="1:5" ht="105" customHeight="1">
      <c r="A150" s="796"/>
      <c r="B150" s="613" t="s">
        <v>151</v>
      </c>
      <c r="C150" s="479">
        <f t="shared" si="5"/>
        <v>236224</v>
      </c>
      <c r="D150" s="112">
        <f>71600+164624</f>
        <v>236224</v>
      </c>
      <c r="E150" s="112"/>
    </row>
    <row r="151" spans="1:5" ht="59.25" customHeight="1">
      <c r="A151" s="796"/>
      <c r="B151" s="613" t="s">
        <v>150</v>
      </c>
      <c r="C151" s="479">
        <f t="shared" si="5"/>
        <v>1000000</v>
      </c>
      <c r="D151" s="480"/>
      <c r="E151" s="480">
        <v>1000000</v>
      </c>
    </row>
    <row r="152" spans="1:5" ht="87.75" customHeight="1">
      <c r="A152" s="796"/>
      <c r="B152" s="220" t="s">
        <v>1040</v>
      </c>
      <c r="C152" s="479">
        <f t="shared" si="5"/>
        <v>61296</v>
      </c>
      <c r="D152" s="480">
        <v>61296</v>
      </c>
      <c r="E152" s="480"/>
    </row>
    <row r="153" spans="1:5" ht="86.25" customHeight="1">
      <c r="A153" s="796"/>
      <c r="B153" s="220" t="s">
        <v>1041</v>
      </c>
      <c r="C153" s="479">
        <f t="shared" si="5"/>
        <v>8811</v>
      </c>
      <c r="D153" s="480">
        <v>8811</v>
      </c>
      <c r="E153" s="480"/>
    </row>
    <row r="154" spans="1:5" ht="74.25" customHeight="1">
      <c r="A154" s="796"/>
      <c r="B154" s="220" t="s">
        <v>1042</v>
      </c>
      <c r="C154" s="479">
        <f t="shared" si="5"/>
        <v>12600</v>
      </c>
      <c r="D154" s="480">
        <v>12600</v>
      </c>
      <c r="E154" s="480"/>
    </row>
    <row r="155" spans="1:5" ht="159.75" customHeight="1">
      <c r="A155" s="796"/>
      <c r="B155" s="220" t="s">
        <v>406</v>
      </c>
      <c r="C155" s="479">
        <f t="shared" si="5"/>
        <v>638800</v>
      </c>
      <c r="D155" s="480">
        <f>226300+412500</f>
        <v>638800</v>
      </c>
      <c r="E155" s="480"/>
    </row>
    <row r="156" spans="1:5" ht="63" customHeight="1">
      <c r="A156" s="796"/>
      <c r="B156" s="220" t="s">
        <v>1039</v>
      </c>
      <c r="C156" s="479">
        <f t="shared" si="5"/>
        <v>38300</v>
      </c>
      <c r="D156" s="480">
        <v>38300</v>
      </c>
      <c r="E156" s="480"/>
    </row>
    <row r="157" spans="1:5" ht="83.25" customHeight="1">
      <c r="A157" s="796"/>
      <c r="B157" s="220" t="s">
        <v>112</v>
      </c>
      <c r="C157" s="479">
        <f t="shared" si="5"/>
        <v>153516</v>
      </c>
      <c r="D157" s="480">
        <v>153516</v>
      </c>
      <c r="E157" s="480"/>
    </row>
    <row r="158" spans="1:5" ht="119.25" customHeight="1">
      <c r="A158" s="796"/>
      <c r="B158" s="220" t="s">
        <v>599</v>
      </c>
      <c r="C158" s="479">
        <f t="shared" si="5"/>
        <v>29740</v>
      </c>
      <c r="D158" s="480">
        <v>29740</v>
      </c>
      <c r="E158" s="480"/>
    </row>
    <row r="159" spans="1:5" ht="63" customHeight="1">
      <c r="A159" s="796"/>
      <c r="B159" s="220" t="s">
        <v>600</v>
      </c>
      <c r="C159" s="479">
        <f t="shared" si="5"/>
        <v>2256</v>
      </c>
      <c r="D159" s="480">
        <v>2256</v>
      </c>
      <c r="E159" s="480"/>
    </row>
    <row r="160" spans="1:5" ht="66" customHeight="1">
      <c r="A160" s="796"/>
      <c r="B160" s="220" t="s">
        <v>601</v>
      </c>
      <c r="C160" s="479">
        <f t="shared" si="5"/>
        <v>15215</v>
      </c>
      <c r="D160" s="480">
        <v>15215</v>
      </c>
      <c r="E160" s="480"/>
    </row>
    <row r="161" spans="1:5" ht="30.75" customHeight="1">
      <c r="A161" s="785"/>
      <c r="B161" s="481" t="s">
        <v>781</v>
      </c>
      <c r="C161" s="122">
        <f>D161+E161</f>
        <v>2539758</v>
      </c>
      <c r="D161" s="122">
        <f>SUM(D131:D160)</f>
        <v>1509758</v>
      </c>
      <c r="E161" s="122">
        <f>SUM(E131:E160)</f>
        <v>1030000</v>
      </c>
    </row>
    <row r="162" spans="1:5" ht="30.75" customHeight="1" hidden="1">
      <c r="A162" s="795" t="s">
        <v>735</v>
      </c>
      <c r="B162" s="220"/>
      <c r="C162" s="112">
        <f t="shared" si="5"/>
        <v>0</v>
      </c>
      <c r="D162" s="112"/>
      <c r="E162" s="112"/>
    </row>
    <row r="163" spans="1:5" ht="30.75" customHeight="1" hidden="1">
      <c r="A163" s="796"/>
      <c r="B163" s="219"/>
      <c r="C163" s="112">
        <f t="shared" si="5"/>
        <v>0</v>
      </c>
      <c r="D163" s="112"/>
      <c r="E163" s="112"/>
    </row>
    <row r="164" spans="1:5" ht="30.75" customHeight="1" hidden="1">
      <c r="A164" s="796"/>
      <c r="B164" s="219"/>
      <c r="C164" s="112">
        <f t="shared" si="5"/>
        <v>0</v>
      </c>
      <c r="D164" s="112"/>
      <c r="E164" s="112"/>
    </row>
    <row r="165" spans="1:5" ht="30.75" customHeight="1" hidden="1">
      <c r="A165" s="796"/>
      <c r="B165" s="219"/>
      <c r="C165" s="112">
        <f t="shared" si="5"/>
        <v>0</v>
      </c>
      <c r="D165" s="112"/>
      <c r="E165" s="112"/>
    </row>
    <row r="166" spans="1:5" ht="30.75" customHeight="1" hidden="1">
      <c r="A166" s="796"/>
      <c r="B166" s="219"/>
      <c r="C166" s="112">
        <f t="shared" si="5"/>
        <v>0</v>
      </c>
      <c r="D166" s="112"/>
      <c r="E166" s="112"/>
    </row>
    <row r="167" spans="1:5" ht="30.75" customHeight="1" hidden="1">
      <c r="A167" s="796"/>
      <c r="B167" s="219"/>
      <c r="C167" s="112">
        <f t="shared" si="5"/>
        <v>0</v>
      </c>
      <c r="D167" s="112"/>
      <c r="E167" s="112"/>
    </row>
    <row r="168" spans="1:5" ht="30.75" customHeight="1" hidden="1">
      <c r="A168" s="796"/>
      <c r="B168" s="219"/>
      <c r="C168" s="112">
        <f t="shared" si="5"/>
        <v>0</v>
      </c>
      <c r="D168" s="112"/>
      <c r="E168" s="112"/>
    </row>
    <row r="169" spans="1:5" ht="30.75" customHeight="1" hidden="1">
      <c r="A169" s="796"/>
      <c r="B169" s="219"/>
      <c r="C169" s="112">
        <f t="shared" si="5"/>
        <v>0</v>
      </c>
      <c r="D169" s="112"/>
      <c r="E169" s="112"/>
    </row>
    <row r="170" spans="1:5" ht="79.5" customHeight="1">
      <c r="A170" s="796"/>
      <c r="B170" s="220" t="s">
        <v>223</v>
      </c>
      <c r="C170" s="112">
        <f>D170+E170</f>
        <v>50000</v>
      </c>
      <c r="D170" s="112">
        <v>50000</v>
      </c>
      <c r="E170" s="112"/>
    </row>
    <row r="171" spans="1:5" ht="90" customHeight="1">
      <c r="A171" s="796"/>
      <c r="B171" s="220" t="s">
        <v>224</v>
      </c>
      <c r="C171" s="112">
        <f>D171+E171</f>
        <v>40000</v>
      </c>
      <c r="D171" s="112">
        <v>40000</v>
      </c>
      <c r="E171" s="112"/>
    </row>
    <row r="172" spans="1:5" ht="85.5" customHeight="1">
      <c r="A172" s="796"/>
      <c r="B172" s="220" t="s">
        <v>558</v>
      </c>
      <c r="C172" s="112">
        <f aca="true" t="shared" si="6" ref="C172:C181">D172+E172</f>
        <v>30000</v>
      </c>
      <c r="D172" s="112"/>
      <c r="E172" s="112">
        <v>30000</v>
      </c>
    </row>
    <row r="173" spans="1:7" ht="60.75" customHeight="1">
      <c r="A173" s="796"/>
      <c r="B173" s="219" t="s">
        <v>410</v>
      </c>
      <c r="C173" s="112">
        <f t="shared" si="6"/>
        <v>2400</v>
      </c>
      <c r="D173" s="112">
        <v>2400</v>
      </c>
      <c r="E173" s="112"/>
      <c r="G173" s="158">
        <f>D173</f>
        <v>2400</v>
      </c>
    </row>
    <row r="174" spans="1:5" ht="30.75" customHeight="1">
      <c r="A174" s="785"/>
      <c r="B174" s="223" t="s">
        <v>781</v>
      </c>
      <c r="C174" s="122">
        <f>D174+E174</f>
        <v>122400</v>
      </c>
      <c r="D174" s="122">
        <f>SUM(D162:D173)</f>
        <v>92400</v>
      </c>
      <c r="E174" s="122">
        <f>SUM(E162:E173)</f>
        <v>30000</v>
      </c>
    </row>
    <row r="175" spans="1:5" ht="81.75" customHeight="1">
      <c r="A175" s="795" t="s">
        <v>817</v>
      </c>
      <c r="B175" s="220" t="s">
        <v>117</v>
      </c>
      <c r="C175" s="112">
        <f>D175+E175</f>
        <v>1000000</v>
      </c>
      <c r="D175" s="112">
        <v>1000000</v>
      </c>
      <c r="E175" s="112"/>
    </row>
    <row r="176" spans="1:5" ht="69" customHeight="1">
      <c r="A176" s="796"/>
      <c r="B176" s="473" t="s">
        <v>150</v>
      </c>
      <c r="C176" s="112">
        <f t="shared" si="6"/>
        <v>1000000</v>
      </c>
      <c r="D176" s="112"/>
      <c r="E176" s="112">
        <v>1000000</v>
      </c>
    </row>
    <row r="177" spans="1:5" ht="65.25" customHeight="1">
      <c r="A177" s="796"/>
      <c r="B177" s="473" t="s">
        <v>370</v>
      </c>
      <c r="C177" s="112">
        <f>D177+E177</f>
        <v>175328</v>
      </c>
      <c r="D177" s="112">
        <v>175328</v>
      </c>
      <c r="E177" s="112"/>
    </row>
    <row r="178" spans="1:5" ht="81.75" customHeight="1">
      <c r="A178" s="796"/>
      <c r="B178" s="220" t="s">
        <v>369</v>
      </c>
      <c r="C178" s="112">
        <f t="shared" si="6"/>
        <v>844352</v>
      </c>
      <c r="D178" s="112">
        <v>844352</v>
      </c>
      <c r="E178" s="112"/>
    </row>
    <row r="179" spans="1:5" ht="117.75" customHeight="1">
      <c r="A179" s="796"/>
      <c r="B179" s="220" t="s">
        <v>373</v>
      </c>
      <c r="C179" s="112">
        <f t="shared" si="6"/>
        <v>87640</v>
      </c>
      <c r="D179" s="112">
        <v>87640</v>
      </c>
      <c r="E179" s="112"/>
    </row>
    <row r="180" spans="1:5" ht="64.5" customHeight="1">
      <c r="A180" s="796"/>
      <c r="B180" s="220" t="s">
        <v>4</v>
      </c>
      <c r="C180" s="112">
        <f t="shared" si="6"/>
        <v>3384</v>
      </c>
      <c r="D180" s="112">
        <v>3384</v>
      </c>
      <c r="E180" s="112"/>
    </row>
    <row r="181" spans="1:5" ht="60.75" customHeight="1">
      <c r="A181" s="796"/>
      <c r="B181" s="220" t="s">
        <v>5</v>
      </c>
      <c r="C181" s="112">
        <f t="shared" si="6"/>
        <v>53950</v>
      </c>
      <c r="D181" s="112">
        <v>53950</v>
      </c>
      <c r="E181" s="112"/>
    </row>
    <row r="182" spans="1:5" ht="30.75" customHeight="1">
      <c r="A182" s="785"/>
      <c r="B182" s="481" t="s">
        <v>781</v>
      </c>
      <c r="C182" s="122">
        <f>D182+E182</f>
        <v>3164654</v>
      </c>
      <c r="D182" s="122">
        <f>SUM(D175:D181)</f>
        <v>2164654</v>
      </c>
      <c r="E182" s="122">
        <f>SUM(E175:E181)</f>
        <v>1000000</v>
      </c>
    </row>
    <row r="183" spans="1:7" ht="81" customHeight="1">
      <c r="A183" s="795" t="s">
        <v>734</v>
      </c>
      <c r="B183" s="483" t="s">
        <v>713</v>
      </c>
      <c r="C183" s="112">
        <f aca="true" t="shared" si="7" ref="C183:C192">D183+E183</f>
        <v>20000</v>
      </c>
      <c r="D183" s="112"/>
      <c r="E183" s="112">
        <v>20000</v>
      </c>
      <c r="G183" s="158">
        <f>D183</f>
        <v>0</v>
      </c>
    </row>
    <row r="184" spans="1:7" ht="45" customHeight="1">
      <c r="A184" s="796"/>
      <c r="B184" s="483" t="s">
        <v>414</v>
      </c>
      <c r="C184" s="112">
        <f>D184+E184</f>
        <v>31500</v>
      </c>
      <c r="D184" s="112">
        <v>31500</v>
      </c>
      <c r="E184" s="112"/>
      <c r="G184" s="158">
        <f>D184</f>
        <v>31500</v>
      </c>
    </row>
    <row r="185" spans="1:7" ht="42.75" customHeight="1">
      <c r="A185" s="796"/>
      <c r="B185" s="483" t="s">
        <v>415</v>
      </c>
      <c r="C185" s="112">
        <f t="shared" si="7"/>
        <v>7350</v>
      </c>
      <c r="D185" s="112"/>
      <c r="E185" s="112">
        <v>7350</v>
      </c>
      <c r="G185" s="158">
        <f>D185</f>
        <v>0</v>
      </c>
    </row>
    <row r="186" spans="1:8" ht="69" customHeight="1">
      <c r="A186" s="796"/>
      <c r="B186" s="483" t="s">
        <v>416</v>
      </c>
      <c r="C186" s="112">
        <f t="shared" si="7"/>
        <v>10000</v>
      </c>
      <c r="D186" s="112">
        <v>10000</v>
      </c>
      <c r="E186" s="112"/>
      <c r="H186" s="158">
        <f>D186</f>
        <v>10000</v>
      </c>
    </row>
    <row r="187" spans="1:5" ht="30.75" customHeight="1">
      <c r="A187" s="785"/>
      <c r="B187" s="481" t="s">
        <v>781</v>
      </c>
      <c r="C187" s="122">
        <f t="shared" si="7"/>
        <v>68850</v>
      </c>
      <c r="D187" s="122">
        <f>SUM(D183:D186)</f>
        <v>41500</v>
      </c>
      <c r="E187" s="122">
        <f>SUM(E183:E186)</f>
        <v>27350</v>
      </c>
    </row>
    <row r="188" spans="1:5" ht="88.5" customHeight="1">
      <c r="A188" s="795" t="s">
        <v>736</v>
      </c>
      <c r="B188" s="220" t="s">
        <v>228</v>
      </c>
      <c r="C188" s="112">
        <f t="shared" si="7"/>
        <v>35000</v>
      </c>
      <c r="D188" s="112"/>
      <c r="E188" s="112">
        <v>35000</v>
      </c>
    </row>
    <row r="189" spans="1:5" ht="105" customHeight="1">
      <c r="A189" s="796"/>
      <c r="B189" s="220" t="s">
        <v>55</v>
      </c>
      <c r="C189" s="112">
        <f>D189+E189</f>
        <v>10800</v>
      </c>
      <c r="D189" s="112">
        <v>10800</v>
      </c>
      <c r="E189" s="112"/>
    </row>
    <row r="190" spans="1:9" ht="50.25" customHeight="1">
      <c r="A190" s="796"/>
      <c r="B190" s="220" t="s">
        <v>220</v>
      </c>
      <c r="C190" s="112">
        <f t="shared" si="7"/>
        <v>15000</v>
      </c>
      <c r="D190" s="112"/>
      <c r="E190" s="112">
        <v>15000</v>
      </c>
      <c r="I190" s="158"/>
    </row>
    <row r="191" spans="1:5" ht="60" customHeight="1">
      <c r="A191" s="796"/>
      <c r="B191" s="220" t="s">
        <v>56</v>
      </c>
      <c r="C191" s="112">
        <f t="shared" si="7"/>
        <v>11273</v>
      </c>
      <c r="D191" s="112">
        <v>11273</v>
      </c>
      <c r="E191" s="112"/>
    </row>
    <row r="192" spans="1:5" ht="30.75" customHeight="1">
      <c r="A192" s="785"/>
      <c r="B192" s="481" t="s">
        <v>781</v>
      </c>
      <c r="C192" s="122">
        <f t="shared" si="7"/>
        <v>72073</v>
      </c>
      <c r="D192" s="122">
        <f>SUM(D188:D191)</f>
        <v>22073</v>
      </c>
      <c r="E192" s="122">
        <f>SUM(E188:E191)</f>
        <v>50000</v>
      </c>
    </row>
    <row r="193" spans="1:5" ht="121.5" customHeight="1" hidden="1">
      <c r="A193" s="795" t="s">
        <v>818</v>
      </c>
      <c r="B193" s="483"/>
      <c r="C193" s="112">
        <f aca="true" t="shared" si="8" ref="C193:C204">D193+E193</f>
        <v>0</v>
      </c>
      <c r="D193" s="112"/>
      <c r="E193" s="112"/>
    </row>
    <row r="194" spans="1:5" ht="117.75" customHeight="1">
      <c r="A194" s="796"/>
      <c r="B194" s="483" t="s">
        <v>446</v>
      </c>
      <c r="C194" s="112">
        <f t="shared" si="8"/>
        <v>28545</v>
      </c>
      <c r="D194" s="112">
        <v>28545</v>
      </c>
      <c r="E194" s="112"/>
    </row>
    <row r="195" spans="1:5" ht="48" customHeight="1">
      <c r="A195" s="796"/>
      <c r="B195" s="483" t="s">
        <v>447</v>
      </c>
      <c r="C195" s="112">
        <f t="shared" si="8"/>
        <v>14180</v>
      </c>
      <c r="D195" s="112">
        <v>14180</v>
      </c>
      <c r="E195" s="112"/>
    </row>
    <row r="196" spans="1:5" ht="30.75" customHeight="1">
      <c r="A196" s="785"/>
      <c r="B196" s="481" t="s">
        <v>781</v>
      </c>
      <c r="C196" s="122">
        <f t="shared" si="8"/>
        <v>42725</v>
      </c>
      <c r="D196" s="122">
        <f>SUM(D193:D195)</f>
        <v>42725</v>
      </c>
      <c r="E196" s="122">
        <f>SUM(E193:E195)</f>
        <v>0</v>
      </c>
    </row>
    <row r="197" spans="1:5" s="391" customFormat="1" ht="106.5" customHeight="1">
      <c r="A197" s="795" t="s">
        <v>737</v>
      </c>
      <c r="B197" s="220" t="s">
        <v>118</v>
      </c>
      <c r="C197" s="112">
        <f t="shared" si="8"/>
        <v>30000</v>
      </c>
      <c r="D197" s="112">
        <v>30000</v>
      </c>
      <c r="E197" s="112"/>
    </row>
    <row r="198" spans="1:9" ht="142.5" customHeight="1">
      <c r="A198" s="796"/>
      <c r="B198" s="220" t="s">
        <v>65</v>
      </c>
      <c r="C198" s="112">
        <f t="shared" si="8"/>
        <v>7440</v>
      </c>
      <c r="D198" s="112">
        <v>7440</v>
      </c>
      <c r="E198" s="112"/>
      <c r="I198" s="158"/>
    </row>
    <row r="199" spans="1:9" ht="122.25" customHeight="1">
      <c r="A199" s="796"/>
      <c r="B199" s="220" t="s">
        <v>630</v>
      </c>
      <c r="C199" s="112">
        <f t="shared" si="8"/>
        <v>22433</v>
      </c>
      <c r="D199" s="112">
        <v>22433</v>
      </c>
      <c r="E199" s="112"/>
      <c r="I199" s="158"/>
    </row>
    <row r="200" spans="1:5" ht="67.5" customHeight="1">
      <c r="A200" s="796"/>
      <c r="B200" s="667" t="s">
        <v>303</v>
      </c>
      <c r="C200" s="479">
        <f>D200+E200</f>
        <v>100000</v>
      </c>
      <c r="D200" s="479"/>
      <c r="E200" s="479">
        <v>100000</v>
      </c>
    </row>
    <row r="201" spans="1:5" ht="30.75" customHeight="1">
      <c r="A201" s="785"/>
      <c r="B201" s="481" t="s">
        <v>781</v>
      </c>
      <c r="C201" s="122">
        <f>D201+E201</f>
        <v>159873</v>
      </c>
      <c r="D201" s="122">
        <f>SUM(D197:D200)</f>
        <v>59873</v>
      </c>
      <c r="E201" s="122">
        <f>SUM(E197:E200)</f>
        <v>100000</v>
      </c>
    </row>
    <row r="202" spans="1:5" ht="100.5" customHeight="1">
      <c r="A202" s="796" t="s">
        <v>953</v>
      </c>
      <c r="B202" s="220" t="s">
        <v>582</v>
      </c>
      <c r="C202" s="112">
        <f t="shared" si="8"/>
        <v>258352</v>
      </c>
      <c r="D202" s="112">
        <v>258352</v>
      </c>
      <c r="E202" s="112"/>
    </row>
    <row r="203" spans="1:5" ht="119.25" customHeight="1">
      <c r="A203" s="796"/>
      <c r="B203" s="483" t="s">
        <v>446</v>
      </c>
      <c r="C203" s="112">
        <f t="shared" si="8"/>
        <v>4440</v>
      </c>
      <c r="D203" s="112">
        <v>4440</v>
      </c>
      <c r="E203" s="112"/>
    </row>
    <row r="204" spans="1:5" ht="34.5" customHeight="1">
      <c r="A204" s="796"/>
      <c r="B204" s="220" t="s">
        <v>583</v>
      </c>
      <c r="C204" s="112">
        <f t="shared" si="8"/>
        <v>29000</v>
      </c>
      <c r="D204" s="112">
        <v>29000</v>
      </c>
      <c r="E204" s="112"/>
    </row>
    <row r="205" spans="1:5" ht="30.75" customHeight="1">
      <c r="A205" s="785"/>
      <c r="B205" s="481" t="s">
        <v>781</v>
      </c>
      <c r="C205" s="122">
        <f>D205+E205</f>
        <v>291792</v>
      </c>
      <c r="D205" s="122">
        <f>SUM(D202:D204)</f>
        <v>291792</v>
      </c>
      <c r="E205" s="122">
        <f>SUM(E202:E204)</f>
        <v>0</v>
      </c>
    </row>
    <row r="206" spans="1:5" ht="30.75" customHeight="1">
      <c r="A206" s="786" t="s">
        <v>781</v>
      </c>
      <c r="B206" s="787"/>
      <c r="C206" s="122">
        <f>E206+D206</f>
        <v>11412584</v>
      </c>
      <c r="D206" s="122">
        <f>D51+D61+D86+D101+D161+D174+D182+D105+D66+D126+D57+D97+D90+D205+D70+D130+D196+D187+D192+D201</f>
        <v>6795339</v>
      </c>
      <c r="E206" s="122">
        <f>E51+E61+E86+E101+E161+E174+E182+E105+E66+E126+E57+E97+E90+E205+E70+E130+E196+E187+E192+E201</f>
        <v>4617245</v>
      </c>
    </row>
    <row r="207" ht="12.75">
      <c r="A207" s="436"/>
    </row>
    <row r="208" ht="12.75">
      <c r="A208" s="295"/>
    </row>
    <row r="209" spans="1:4" ht="18.75">
      <c r="A209" s="169" t="s">
        <v>500</v>
      </c>
      <c r="B209" s="115"/>
      <c r="C209" s="115"/>
      <c r="D209" s="115" t="s">
        <v>208</v>
      </c>
    </row>
    <row r="210" spans="1:5" ht="18.75">
      <c r="A210" s="98"/>
      <c r="B210" s="115" t="s">
        <v>28</v>
      </c>
      <c r="C210" s="184">
        <f>'Дод.1'!C118</f>
        <v>11412584</v>
      </c>
      <c r="D210" s="184">
        <f>'Дод.1'!D118</f>
        <v>6795339</v>
      </c>
      <c r="E210" s="184">
        <f>'Дод.1'!E118</f>
        <v>4617245</v>
      </c>
    </row>
    <row r="211" spans="2:5" ht="12.75">
      <c r="B211" s="668" t="s">
        <v>824</v>
      </c>
      <c r="C211" s="669">
        <f>C210-C206</f>
        <v>0</v>
      </c>
      <c r="D211" s="669">
        <f>D210-D206</f>
        <v>0</v>
      </c>
      <c r="E211" s="669">
        <f>E210-E206</f>
        <v>0</v>
      </c>
    </row>
    <row r="212" spans="4:5" ht="12.75">
      <c r="D212" s="670"/>
      <c r="E212" s="670"/>
    </row>
    <row r="213" spans="4:5" ht="12.75">
      <c r="D213" s="670"/>
      <c r="E213" s="671"/>
    </row>
    <row r="214" spans="4:5" ht="12.75">
      <c r="D214" s="670"/>
      <c r="E214" s="670"/>
    </row>
    <row r="215" spans="3:5" ht="18">
      <c r="C215" s="672"/>
      <c r="D215" s="670"/>
      <c r="E215" s="670"/>
    </row>
  </sheetData>
  <sheetProtection/>
  <mergeCells count="25">
    <mergeCell ref="A197:A201"/>
    <mergeCell ref="A52:A57"/>
    <mergeCell ref="A87:A90"/>
    <mergeCell ref="A58:A61"/>
    <mergeCell ref="A67:A70"/>
    <mergeCell ref="A71:A86"/>
    <mergeCell ref="A175:A182"/>
    <mergeCell ref="A188:A192"/>
    <mergeCell ref="A62:A66"/>
    <mergeCell ref="A91:A97"/>
    <mergeCell ref="A127:A130"/>
    <mergeCell ref="C1:D1"/>
    <mergeCell ref="C2:E2"/>
    <mergeCell ref="C3:E3"/>
    <mergeCell ref="A4:E4"/>
    <mergeCell ref="A162:A174"/>
    <mergeCell ref="A8:A51"/>
    <mergeCell ref="A206:B206"/>
    <mergeCell ref="A98:A101"/>
    <mergeCell ref="A102:A105"/>
    <mergeCell ref="A106:A126"/>
    <mergeCell ref="A131:A161"/>
    <mergeCell ref="A193:A196"/>
    <mergeCell ref="A202:A205"/>
    <mergeCell ref="A183:A187"/>
  </mergeCells>
  <printOptions/>
  <pageMargins left="0.71" right="0.29" top="0.59" bottom="0.48" header="0.5" footer="0.38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44"/>
  <sheetViews>
    <sheetView showZeros="0" view="pageBreakPreview" zoomScale="85" zoomScaleSheetLayoutView="85" zoomScalePageLayoutView="0" workbookViewId="0" topLeftCell="C10">
      <selection activeCell="M16" sqref="M16"/>
    </sheetView>
  </sheetViews>
  <sheetFormatPr defaultColWidth="9.00390625" defaultRowHeight="12.75"/>
  <cols>
    <col min="1" max="1" width="10.375" style="0" customWidth="1"/>
    <col min="2" max="2" width="82.25390625" style="0" customWidth="1"/>
    <col min="3" max="3" width="21.375" style="0" customWidth="1"/>
    <col min="4" max="5" width="23.125" style="0" customWidth="1"/>
    <col min="6" max="6" width="22.75390625" style="0" customWidth="1"/>
    <col min="7" max="7" width="0.37109375" style="0" hidden="1" customWidth="1"/>
    <col min="8" max="8" width="18.25390625" style="0" customWidth="1"/>
    <col min="9" max="9" width="18.625" style="0" customWidth="1"/>
    <col min="10" max="10" width="13.25390625" style="0" customWidth="1"/>
    <col min="11" max="11" width="15.375" style="0" customWidth="1"/>
    <col min="13" max="13" width="12.75390625" style="0" bestFit="1" customWidth="1"/>
  </cols>
  <sheetData>
    <row r="1" spans="1:6" ht="18.75">
      <c r="A1" s="84"/>
      <c r="B1" s="85"/>
      <c r="C1" s="85"/>
      <c r="D1" s="778" t="s">
        <v>24</v>
      </c>
      <c r="E1" s="798"/>
      <c r="F1" s="798"/>
    </row>
    <row r="2" spans="2:6" ht="18.75">
      <c r="B2" s="86"/>
      <c r="C2" s="86"/>
      <c r="D2" s="778" t="s">
        <v>25</v>
      </c>
      <c r="E2" s="798"/>
      <c r="F2" s="798"/>
    </row>
    <row r="3" spans="1:7" ht="18.75">
      <c r="A3" s="84"/>
      <c r="B3" s="85"/>
      <c r="C3" s="85"/>
      <c r="D3" s="777" t="s">
        <v>67</v>
      </c>
      <c r="E3" s="801"/>
      <c r="F3" s="801"/>
      <c r="G3" s="85"/>
    </row>
    <row r="4" spans="1:5" ht="16.5">
      <c r="A4" s="84"/>
      <c r="B4" s="83"/>
      <c r="C4" s="83"/>
      <c r="D4" s="84"/>
      <c r="E4" s="84"/>
    </row>
    <row r="5" spans="1:7" ht="23.25">
      <c r="A5" s="806" t="s">
        <v>347</v>
      </c>
      <c r="B5" s="806"/>
      <c r="C5" s="806"/>
      <c r="D5" s="806"/>
      <c r="E5" s="806"/>
      <c r="F5" s="806"/>
      <c r="G5" s="806"/>
    </row>
    <row r="6" spans="1:6" ht="18.75">
      <c r="A6" s="87"/>
      <c r="B6" s="87"/>
      <c r="C6" s="87"/>
      <c r="F6" s="88" t="s">
        <v>85</v>
      </c>
    </row>
    <row r="7" spans="1:6" ht="21.75" customHeight="1">
      <c r="A7" s="810" t="s">
        <v>32</v>
      </c>
      <c r="B7" s="810" t="s">
        <v>955</v>
      </c>
      <c r="C7" s="814" t="s">
        <v>978</v>
      </c>
      <c r="D7" s="816" t="s">
        <v>573</v>
      </c>
      <c r="E7" s="812" t="s">
        <v>802</v>
      </c>
      <c r="F7" s="813"/>
    </row>
    <row r="8" spans="1:6" ht="37.5" customHeight="1">
      <c r="A8" s="811"/>
      <c r="B8" s="811"/>
      <c r="C8" s="815"/>
      <c r="D8" s="817"/>
      <c r="E8" s="92" t="s">
        <v>574</v>
      </c>
      <c r="F8" s="134" t="s">
        <v>986</v>
      </c>
    </row>
    <row r="9" spans="1:6" ht="18.75">
      <c r="A9" s="89">
        <v>1</v>
      </c>
      <c r="B9" s="89">
        <v>2</v>
      </c>
      <c r="C9" s="89">
        <v>3</v>
      </c>
      <c r="D9" s="89">
        <v>4</v>
      </c>
      <c r="E9" s="89">
        <v>5</v>
      </c>
      <c r="F9" s="90">
        <v>6</v>
      </c>
    </row>
    <row r="10" spans="1:6" ht="21" customHeight="1">
      <c r="A10" s="818" t="s">
        <v>982</v>
      </c>
      <c r="B10" s="819"/>
      <c r="C10" s="819"/>
      <c r="D10" s="819"/>
      <c r="E10" s="819"/>
      <c r="F10" s="820"/>
    </row>
    <row r="11" spans="1:6" ht="24.75" customHeight="1">
      <c r="A11" s="137">
        <v>200000</v>
      </c>
      <c r="B11" s="138" t="s">
        <v>956</v>
      </c>
      <c r="C11" s="160">
        <f>C12+C15</f>
        <v>16488865.829999998</v>
      </c>
      <c r="D11" s="160">
        <f>D12+D15</f>
        <v>8638449.83</v>
      </c>
      <c r="E11" s="124">
        <f>E12+E15</f>
        <v>7850416</v>
      </c>
      <c r="F11" s="124">
        <f>F12+F15</f>
        <v>7305516</v>
      </c>
    </row>
    <row r="12" spans="1:6" ht="39" customHeight="1">
      <c r="A12" s="139">
        <v>206000</v>
      </c>
      <c r="B12" s="140" t="s">
        <v>307</v>
      </c>
      <c r="C12" s="132">
        <f>SUM(C13:C14)</f>
        <v>0</v>
      </c>
      <c r="D12" s="132">
        <f>SUM(D13:D14)</f>
        <v>0</v>
      </c>
      <c r="E12" s="132">
        <f>SUM(E13:E14)</f>
        <v>0</v>
      </c>
      <c r="F12" s="132">
        <f>SUM(F13:F14)</f>
        <v>0</v>
      </c>
    </row>
    <row r="13" spans="1:6" s="295" customFormat="1" ht="20.25" customHeight="1">
      <c r="A13" s="141">
        <v>206110</v>
      </c>
      <c r="B13" s="142" t="s">
        <v>957</v>
      </c>
      <c r="C13" s="157">
        <f>D13</f>
        <v>10000000</v>
      </c>
      <c r="D13" s="157">
        <v>10000000</v>
      </c>
      <c r="E13" s="157"/>
      <c r="F13" s="157"/>
    </row>
    <row r="14" spans="1:6" s="295" customFormat="1" ht="18.75" customHeight="1">
      <c r="A14" s="141">
        <v>206210</v>
      </c>
      <c r="B14" s="142" t="s">
        <v>958</v>
      </c>
      <c r="C14" s="157">
        <f>D14</f>
        <v>-10000000</v>
      </c>
      <c r="D14" s="157">
        <v>-10000000</v>
      </c>
      <c r="E14" s="157"/>
      <c r="F14" s="157"/>
    </row>
    <row r="15" spans="1:14" s="295" customFormat="1" ht="18.75" customHeight="1">
      <c r="A15" s="139">
        <v>208000</v>
      </c>
      <c r="B15" s="140" t="s">
        <v>1045</v>
      </c>
      <c r="C15" s="160">
        <f>C16-C17+C19</f>
        <v>16488865.829999998</v>
      </c>
      <c r="D15" s="160">
        <f>D16-D17+D19+D18</f>
        <v>8638449.83</v>
      </c>
      <c r="E15" s="160">
        <f>E16-E17+E19+E18</f>
        <v>7850416</v>
      </c>
      <c r="F15" s="160">
        <f>F16-F17+F19+F18</f>
        <v>7305516</v>
      </c>
      <c r="H15" s="626">
        <f>D15</f>
        <v>8638449.83</v>
      </c>
      <c r="I15" s="627" t="s">
        <v>929</v>
      </c>
      <c r="J15" s="296"/>
      <c r="K15" s="296"/>
      <c r="L15" s="296"/>
      <c r="M15" s="296"/>
      <c r="N15" s="296"/>
    </row>
    <row r="16" spans="1:14" s="295" customFormat="1" ht="20.25" customHeight="1">
      <c r="A16" s="141">
        <v>208100</v>
      </c>
      <c r="B16" s="142" t="s">
        <v>495</v>
      </c>
      <c r="C16" s="157">
        <f>D16+E16</f>
        <v>17288629.99</v>
      </c>
      <c r="D16" s="157">
        <f>189402.08+7151839.07+820060.94+1340000+5996.38+6491848.8</f>
        <v>15999147.27</v>
      </c>
      <c r="E16" s="157">
        <f>84482+550000+5348.93+38713.45+66000+544938.34</f>
        <v>1289482.72</v>
      </c>
      <c r="F16" s="157">
        <f>550000+5348.93</f>
        <v>555348.93</v>
      </c>
      <c r="H16" s="626">
        <f>D19</f>
        <v>-6755516</v>
      </c>
      <c r="I16" s="627" t="s">
        <v>931</v>
      </c>
      <c r="J16" s="297">
        <f>D16-D17-M16</f>
        <v>169300</v>
      </c>
      <c r="K16" s="296" t="s">
        <v>930</v>
      </c>
      <c r="L16" s="296"/>
      <c r="M16" s="297">
        <v>15224665.83</v>
      </c>
      <c r="N16" s="296"/>
    </row>
    <row r="17" spans="1:14" s="295" customFormat="1" ht="22.5" customHeight="1">
      <c r="A17" s="141">
        <v>208200</v>
      </c>
      <c r="B17" s="142" t="s">
        <v>16</v>
      </c>
      <c r="C17" s="157">
        <f>D17+E17</f>
        <v>799764.1599999995</v>
      </c>
      <c r="D17" s="157">
        <f>D16-1340000-2950871-7151839.07-820060.94-3108894.82-3000+150000-79300-90000</f>
        <v>605181.4399999995</v>
      </c>
      <c r="E17" s="157">
        <f>E16-550000-544900</f>
        <v>194582.71999999997</v>
      </c>
      <c r="F17" s="157">
        <f>F16-550000</f>
        <v>5348.930000000051</v>
      </c>
      <c r="H17" s="297">
        <f>D16-D17</f>
        <v>15393965.83</v>
      </c>
      <c r="I17" s="297" t="s">
        <v>928</v>
      </c>
      <c r="J17" s="297">
        <f>E16-E17</f>
        <v>1094900</v>
      </c>
      <c r="K17" s="296" t="s">
        <v>934</v>
      </c>
      <c r="L17" s="296"/>
      <c r="M17" s="296"/>
      <c r="N17" s="296"/>
    </row>
    <row r="18" spans="1:14" s="295" customFormat="1" ht="22.5" customHeight="1" hidden="1">
      <c r="A18" s="141">
        <v>208340</v>
      </c>
      <c r="B18" s="142" t="s">
        <v>149</v>
      </c>
      <c r="C18" s="157"/>
      <c r="D18" s="157"/>
      <c r="E18" s="157"/>
      <c r="F18" s="157"/>
      <c r="H18" s="297"/>
      <c r="I18" s="297"/>
      <c r="J18" s="297"/>
      <c r="K18" s="296"/>
      <c r="L18" s="296"/>
      <c r="M18" s="296"/>
      <c r="N18" s="296"/>
    </row>
    <row r="19" spans="1:14" s="295" customFormat="1" ht="36.75" customHeight="1">
      <c r="A19" s="141">
        <v>208400</v>
      </c>
      <c r="B19" s="142" t="s">
        <v>951</v>
      </c>
      <c r="C19" s="157">
        <f>D19+E19</f>
        <v>0</v>
      </c>
      <c r="D19" s="157">
        <f>-5644289-174227-67000-850000-20000</f>
        <v>-6755516</v>
      </c>
      <c r="E19" s="157">
        <f>5644289+174227+67000+850000+20000</f>
        <v>6755516</v>
      </c>
      <c r="F19" s="157">
        <f>5644289+174227+67000+850000+20000</f>
        <v>6755516</v>
      </c>
      <c r="H19" s="297">
        <f>E15</f>
        <v>7850416</v>
      </c>
      <c r="I19" s="297" t="s">
        <v>932</v>
      </c>
      <c r="J19" s="298"/>
      <c r="K19" s="296"/>
      <c r="L19" s="296"/>
      <c r="M19" s="296"/>
      <c r="N19" s="296"/>
    </row>
    <row r="20" spans="1:14" s="295" customFormat="1" ht="18.75">
      <c r="A20" s="141" t="s">
        <v>980</v>
      </c>
      <c r="B20" s="299" t="s">
        <v>983</v>
      </c>
      <c r="C20" s="160">
        <f>D20+E20</f>
        <v>16488865.83</v>
      </c>
      <c r="D20" s="160">
        <f>D11</f>
        <v>8638449.83</v>
      </c>
      <c r="E20" s="160">
        <f>E11</f>
        <v>7850416</v>
      </c>
      <c r="F20" s="160">
        <f>F11</f>
        <v>7305516</v>
      </c>
      <c r="H20" s="297">
        <f>E19</f>
        <v>6755516</v>
      </c>
      <c r="I20" s="297" t="s">
        <v>933</v>
      </c>
      <c r="J20" s="296"/>
      <c r="K20" s="296"/>
      <c r="L20" s="296"/>
      <c r="M20" s="296"/>
      <c r="N20" s="296"/>
    </row>
    <row r="21" spans="1:14" s="295" customFormat="1" ht="26.25" customHeight="1">
      <c r="A21" s="807" t="s">
        <v>985</v>
      </c>
      <c r="B21" s="808"/>
      <c r="C21" s="808"/>
      <c r="D21" s="808"/>
      <c r="E21" s="808"/>
      <c r="F21" s="809"/>
      <c r="H21" s="297"/>
      <c r="I21" s="297"/>
      <c r="J21" s="296"/>
      <c r="K21" s="297">
        <f>H17-7151839.07-820060.94-1340000</f>
        <v>6082065.82</v>
      </c>
      <c r="L21" s="296"/>
      <c r="M21" s="296"/>
      <c r="N21" s="296"/>
    </row>
    <row r="22" spans="1:14" s="295" customFormat="1" ht="22.5" customHeight="1">
      <c r="A22" s="300">
        <v>600000</v>
      </c>
      <c r="B22" s="138" t="s">
        <v>1043</v>
      </c>
      <c r="C22" s="160">
        <f aca="true" t="shared" si="0" ref="C22:C31">D22+E22</f>
        <v>16488865.83</v>
      </c>
      <c r="D22" s="160">
        <f>D26</f>
        <v>8638449.83</v>
      </c>
      <c r="E22" s="160">
        <f>+E26</f>
        <v>7850416</v>
      </c>
      <c r="F22" s="160">
        <f>+F26</f>
        <v>7305516</v>
      </c>
      <c r="H22" s="297"/>
      <c r="I22" s="296"/>
      <c r="J22" s="296"/>
      <c r="K22" s="296"/>
      <c r="L22" s="296"/>
      <c r="M22" s="296"/>
      <c r="N22" s="296"/>
    </row>
    <row r="23" spans="1:10" s="295" customFormat="1" ht="36.75" customHeight="1">
      <c r="A23" s="139">
        <v>601000</v>
      </c>
      <c r="B23" s="140" t="s">
        <v>307</v>
      </c>
      <c r="C23" s="157">
        <f>C24+C25</f>
        <v>0</v>
      </c>
      <c r="D23" s="157"/>
      <c r="E23" s="157">
        <f>E24+E25</f>
        <v>0</v>
      </c>
      <c r="F23" s="157">
        <f>F24+F25</f>
        <v>0</v>
      </c>
      <c r="H23" s="392"/>
      <c r="J23" s="392">
        <f>H23-I23</f>
        <v>0</v>
      </c>
    </row>
    <row r="24" spans="1:6" s="295" customFormat="1" ht="24" customHeight="1">
      <c r="A24" s="141">
        <v>601110</v>
      </c>
      <c r="B24" s="142" t="s">
        <v>957</v>
      </c>
      <c r="C24" s="157">
        <f t="shared" si="0"/>
        <v>10000000</v>
      </c>
      <c r="D24" s="157">
        <f aca="true" t="shared" si="1" ref="D24:F25">D13</f>
        <v>10000000</v>
      </c>
      <c r="E24" s="157"/>
      <c r="F24" s="157">
        <f t="shared" si="1"/>
        <v>0</v>
      </c>
    </row>
    <row r="25" spans="1:6" s="295" customFormat="1" ht="18.75" customHeight="1">
      <c r="A25" s="141">
        <v>601210</v>
      </c>
      <c r="B25" s="142" t="s">
        <v>958</v>
      </c>
      <c r="C25" s="157">
        <f t="shared" si="0"/>
        <v>-10000000</v>
      </c>
      <c r="D25" s="157">
        <f t="shared" si="1"/>
        <v>-10000000</v>
      </c>
      <c r="E25" s="157"/>
      <c r="F25" s="157">
        <f t="shared" si="1"/>
        <v>0</v>
      </c>
    </row>
    <row r="26" spans="1:6" ht="19.5">
      <c r="A26" s="139">
        <v>602000</v>
      </c>
      <c r="B26" s="140" t="s">
        <v>973</v>
      </c>
      <c r="C26" s="124">
        <f t="shared" si="0"/>
        <v>16488865.83</v>
      </c>
      <c r="D26" s="124">
        <f>D27-D28+D30+D29</f>
        <v>8638449.83</v>
      </c>
      <c r="E26" s="124">
        <f>+E27-E28+E30+E29</f>
        <v>7850416</v>
      </c>
      <c r="F26" s="124">
        <f>+F27-F28+F30+F29</f>
        <v>7305516</v>
      </c>
    </row>
    <row r="27" spans="1:6" ht="21.75" customHeight="1">
      <c r="A27" s="141">
        <v>602100</v>
      </c>
      <c r="B27" s="142" t="s">
        <v>495</v>
      </c>
      <c r="C27" s="124">
        <f t="shared" si="0"/>
        <v>17288629.99</v>
      </c>
      <c r="D27" s="91">
        <f>D16</f>
        <v>15999147.27</v>
      </c>
      <c r="E27" s="91">
        <f>+E16</f>
        <v>1289482.72</v>
      </c>
      <c r="F27" s="91">
        <f>+F16</f>
        <v>555348.93</v>
      </c>
    </row>
    <row r="28" spans="1:6" ht="23.25" customHeight="1">
      <c r="A28" s="141">
        <v>602200</v>
      </c>
      <c r="B28" s="142" t="s">
        <v>16</v>
      </c>
      <c r="C28" s="124">
        <f t="shared" si="0"/>
        <v>799764.1599999995</v>
      </c>
      <c r="D28" s="91">
        <f>D17</f>
        <v>605181.4399999995</v>
      </c>
      <c r="E28" s="91">
        <f>+E17</f>
        <v>194582.71999999997</v>
      </c>
      <c r="F28" s="91">
        <f>+F17</f>
        <v>5348.930000000051</v>
      </c>
    </row>
    <row r="29" spans="1:6" ht="23.25" customHeight="1" hidden="1">
      <c r="A29" s="141">
        <v>602304</v>
      </c>
      <c r="B29" s="142" t="s">
        <v>149</v>
      </c>
      <c r="C29" s="124"/>
      <c r="D29" s="91">
        <f>D18</f>
        <v>0</v>
      </c>
      <c r="E29" s="91">
        <f>E18</f>
        <v>0</v>
      </c>
      <c r="F29" s="91">
        <f>F18</f>
        <v>0</v>
      </c>
    </row>
    <row r="30" spans="1:6" ht="36" customHeight="1">
      <c r="A30" s="141">
        <v>602400</v>
      </c>
      <c r="B30" s="142" t="s">
        <v>951</v>
      </c>
      <c r="C30" s="124">
        <f t="shared" si="0"/>
        <v>0</v>
      </c>
      <c r="D30" s="91">
        <f>D19</f>
        <v>-6755516</v>
      </c>
      <c r="E30" s="91">
        <f>E19</f>
        <v>6755516</v>
      </c>
      <c r="F30" s="91">
        <f>F19</f>
        <v>6755516</v>
      </c>
    </row>
    <row r="31" spans="1:6" ht="22.5" customHeight="1">
      <c r="A31" s="141" t="s">
        <v>980</v>
      </c>
      <c r="B31" s="299" t="s">
        <v>983</v>
      </c>
      <c r="C31" s="124">
        <f t="shared" si="0"/>
        <v>16488865.83</v>
      </c>
      <c r="D31" s="124">
        <f>+D22</f>
        <v>8638449.83</v>
      </c>
      <c r="E31" s="124">
        <f>+E22</f>
        <v>7850416</v>
      </c>
      <c r="F31" s="124">
        <f>+F22</f>
        <v>7305516</v>
      </c>
    </row>
    <row r="32" spans="1:7" ht="16.5">
      <c r="A32" s="93"/>
      <c r="B32" s="94"/>
      <c r="D32" s="95"/>
      <c r="E32" s="95"/>
      <c r="F32" s="95"/>
      <c r="G32" s="95"/>
    </row>
    <row r="33" spans="1:12" ht="24" customHeight="1">
      <c r="A33" s="96" t="s">
        <v>959</v>
      </c>
      <c r="B33" s="97" t="s">
        <v>823</v>
      </c>
      <c r="C33" s="97"/>
      <c r="D33" s="115" t="s">
        <v>208</v>
      </c>
      <c r="E33" s="97"/>
      <c r="F33" s="98"/>
      <c r="G33" s="99"/>
      <c r="H33" s="100"/>
      <c r="I33" s="101"/>
      <c r="J33" s="97"/>
      <c r="K33" s="102"/>
      <c r="L33" s="102"/>
    </row>
    <row r="36" ht="12.75">
      <c r="E36" s="158">
        <f>'Дод.1'!E122</f>
        <v>0</v>
      </c>
    </row>
    <row r="37" spans="2:10" ht="12.75">
      <c r="B37" t="s">
        <v>7</v>
      </c>
      <c r="C37" s="158">
        <f>'Дод.1'!C123-C39</f>
        <v>-16488865.829999983</v>
      </c>
      <c r="D37" s="158">
        <f>'Дод.1'!D123-'Дод.2'!D39</f>
        <v>-8638449.829999983</v>
      </c>
      <c r="E37" s="158">
        <f>'Дод.1'!E123</f>
        <v>-7850416</v>
      </c>
      <c r="F37" s="158">
        <f>'Дод.1'!F123</f>
        <v>-7305516</v>
      </c>
      <c r="J37" s="158">
        <f>C38-D38</f>
        <v>0</v>
      </c>
    </row>
    <row r="38" spans="2:6" ht="12.75">
      <c r="B38" t="s">
        <v>8</v>
      </c>
      <c r="C38" s="611">
        <f>C31+C37</f>
        <v>1.6763806343078613E-08</v>
      </c>
      <c r="D38" s="611">
        <f>D31+D37</f>
        <v>1.6763806343078613E-08</v>
      </c>
      <c r="E38" s="611">
        <f>E31+E37</f>
        <v>0</v>
      </c>
      <c r="F38" s="194">
        <f>F31+F37</f>
        <v>0</v>
      </c>
    </row>
    <row r="39" spans="2:5" ht="12.75">
      <c r="B39" t="s">
        <v>549</v>
      </c>
      <c r="C39" s="200"/>
      <c r="D39" s="200"/>
      <c r="E39" s="200"/>
    </row>
    <row r="40" ht="12.75">
      <c r="D40" s="158"/>
    </row>
    <row r="41" ht="12.75">
      <c r="C41" s="158"/>
    </row>
    <row r="44" ht="12.75">
      <c r="E44" s="158"/>
    </row>
  </sheetData>
  <sheetProtection/>
  <mergeCells count="11">
    <mergeCell ref="A21:F21"/>
    <mergeCell ref="A7:A8"/>
    <mergeCell ref="E7:F7"/>
    <mergeCell ref="B7:B8"/>
    <mergeCell ref="C7:C8"/>
    <mergeCell ref="D7:D8"/>
    <mergeCell ref="A10:F10"/>
    <mergeCell ref="D1:F1"/>
    <mergeCell ref="D2:F2"/>
    <mergeCell ref="D3:F3"/>
    <mergeCell ref="A5:G5"/>
  </mergeCells>
  <printOptions horizontalCentered="1"/>
  <pageMargins left="0.3937007874015748" right="0.3937007874015748" top="0.51" bottom="0.38" header="0.5118110236220472" footer="0.38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X162"/>
  <sheetViews>
    <sheetView showZeros="0" view="pageBreakPreview" zoomScale="70" zoomScaleNormal="70" zoomScaleSheetLayoutView="70" zoomScalePageLayoutView="0" workbookViewId="0" topLeftCell="A1">
      <pane xSplit="7" ySplit="11" topLeftCell="H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49" sqref="I49:I53"/>
    </sheetView>
  </sheetViews>
  <sheetFormatPr defaultColWidth="9.00390625" defaultRowHeight="12.75"/>
  <cols>
    <col min="1" max="1" width="11.375" style="8" hidden="1" customWidth="1"/>
    <col min="2" max="2" width="7.875" style="8" hidden="1" customWidth="1"/>
    <col min="3" max="3" width="6.875" style="8" hidden="1" customWidth="1"/>
    <col min="4" max="4" width="13.00390625" style="38" customWidth="1"/>
    <col min="5" max="5" width="13.25390625" style="8" customWidth="1"/>
    <col min="6" max="6" width="13.75390625" style="8" customWidth="1"/>
    <col min="7" max="7" width="56.75390625" style="41" customWidth="1"/>
    <col min="8" max="8" width="16.625" style="8" customWidth="1"/>
    <col min="9" max="9" width="17.25390625" style="47" customWidth="1"/>
    <col min="10" max="10" width="16.25390625" style="8" customWidth="1"/>
    <col min="11" max="11" width="17.125" style="8" customWidth="1"/>
    <col min="12" max="12" width="14.375" style="8" customWidth="1"/>
    <col min="13" max="13" width="16.00390625" style="8" customWidth="1"/>
    <col min="14" max="15" width="15.125" style="8" customWidth="1"/>
    <col min="16" max="17" width="13.375" style="8" customWidth="1"/>
    <col min="18" max="18" width="16.00390625" style="8" customWidth="1"/>
    <col min="19" max="19" width="16.875" style="8" customWidth="1"/>
    <col min="20" max="20" width="13.375" style="8" hidden="1" customWidth="1"/>
    <col min="21" max="21" width="17.375" style="552" hidden="1" customWidth="1"/>
    <col min="22" max="22" width="20.25390625" style="552" hidden="1" customWidth="1"/>
    <col min="23" max="23" width="15.25390625" style="8" hidden="1" customWidth="1"/>
    <col min="24" max="24" width="14.25390625" style="8" customWidth="1"/>
    <col min="25" max="16384" width="9.125" style="8" customWidth="1"/>
  </cols>
  <sheetData>
    <row r="1" ht="28.5" customHeight="1">
      <c r="R1" s="135" t="s">
        <v>348</v>
      </c>
    </row>
    <row r="2" spans="16:19" ht="15.75" customHeight="1">
      <c r="P2" s="60"/>
      <c r="Q2" s="61"/>
      <c r="R2" s="838" t="s">
        <v>547</v>
      </c>
      <c r="S2" s="838"/>
    </row>
    <row r="3" spans="16:19" ht="3.75" customHeight="1" hidden="1">
      <c r="P3" s="60"/>
      <c r="Q3" s="61"/>
      <c r="R3" s="301"/>
      <c r="S3" s="394"/>
    </row>
    <row r="4" spans="18:19" ht="21" customHeight="1">
      <c r="R4" s="302" t="str">
        <f>'Дод.1'!D3</f>
        <v>від                            №  </v>
      </c>
      <c r="S4" s="1"/>
    </row>
    <row r="5" spans="2:19" ht="17.25" customHeight="1">
      <c r="B5" s="349"/>
      <c r="D5" s="346"/>
      <c r="E5" s="346"/>
      <c r="F5" s="346"/>
      <c r="G5" s="347"/>
      <c r="H5" s="346"/>
      <c r="I5" s="348"/>
      <c r="J5" s="346" t="s">
        <v>345</v>
      </c>
      <c r="K5" s="346"/>
      <c r="L5" s="346"/>
      <c r="M5" s="346"/>
      <c r="N5" s="346"/>
      <c r="O5" s="346"/>
      <c r="P5" s="346"/>
      <c r="Q5" s="346"/>
      <c r="R5" s="346"/>
      <c r="S5" s="346"/>
    </row>
    <row r="6" spans="5:19" ht="17.25" customHeight="1">
      <c r="E6" s="38"/>
      <c r="F6" s="38"/>
      <c r="G6" s="42"/>
      <c r="H6" s="38"/>
      <c r="I6" s="65"/>
      <c r="J6" s="38"/>
      <c r="K6" s="38"/>
      <c r="L6" s="38"/>
      <c r="M6" s="38"/>
      <c r="N6" s="38"/>
      <c r="O6" s="38"/>
      <c r="P6" s="38"/>
      <c r="Q6" s="38"/>
      <c r="R6" s="830" t="s">
        <v>85</v>
      </c>
      <c r="S6" s="830"/>
    </row>
    <row r="7" spans="4:22" s="24" customFormat="1" ht="27" customHeight="1">
      <c r="D7" s="839" t="s">
        <v>987</v>
      </c>
      <c r="E7" s="839" t="s">
        <v>988</v>
      </c>
      <c r="F7" s="839" t="s">
        <v>989</v>
      </c>
      <c r="G7" s="839" t="s">
        <v>343</v>
      </c>
      <c r="H7" s="832" t="s">
        <v>573</v>
      </c>
      <c r="I7" s="833"/>
      <c r="J7" s="833"/>
      <c r="K7" s="833"/>
      <c r="L7" s="834"/>
      <c r="M7" s="832" t="s">
        <v>802</v>
      </c>
      <c r="N7" s="833"/>
      <c r="O7" s="833"/>
      <c r="P7" s="833"/>
      <c r="Q7" s="833"/>
      <c r="R7" s="833"/>
      <c r="S7" s="825" t="s">
        <v>895</v>
      </c>
      <c r="U7" s="553"/>
      <c r="V7" s="553"/>
    </row>
    <row r="8" spans="4:22" s="24" customFormat="1" ht="26.25" customHeight="1">
      <c r="D8" s="840"/>
      <c r="E8" s="842"/>
      <c r="F8" s="842"/>
      <c r="G8" s="842"/>
      <c r="H8" s="825" t="s">
        <v>978</v>
      </c>
      <c r="I8" s="827" t="s">
        <v>308</v>
      </c>
      <c r="J8" s="825" t="s">
        <v>894</v>
      </c>
      <c r="K8" s="825"/>
      <c r="L8" s="831" t="s">
        <v>310</v>
      </c>
      <c r="M8" s="825" t="s">
        <v>978</v>
      </c>
      <c r="N8" s="835" t="s">
        <v>344</v>
      </c>
      <c r="O8" s="831" t="s">
        <v>308</v>
      </c>
      <c r="P8" s="821" t="s">
        <v>894</v>
      </c>
      <c r="Q8" s="822"/>
      <c r="R8" s="831" t="s">
        <v>310</v>
      </c>
      <c r="S8" s="825"/>
      <c r="T8" s="24">
        <v>1</v>
      </c>
      <c r="U8" s="553"/>
      <c r="V8" s="553"/>
    </row>
    <row r="9" spans="4:22" s="24" customFormat="1" ht="1.5" customHeight="1">
      <c r="D9" s="840"/>
      <c r="E9" s="842"/>
      <c r="F9" s="842"/>
      <c r="G9" s="842"/>
      <c r="H9" s="825"/>
      <c r="I9" s="828"/>
      <c r="J9" s="826"/>
      <c r="K9" s="826"/>
      <c r="L9" s="831"/>
      <c r="M9" s="825"/>
      <c r="N9" s="836"/>
      <c r="O9" s="831"/>
      <c r="P9" s="823"/>
      <c r="Q9" s="824"/>
      <c r="R9" s="831"/>
      <c r="S9" s="825"/>
      <c r="U9" s="553"/>
      <c r="V9" s="553"/>
    </row>
    <row r="10" spans="4:22" s="24" customFormat="1" ht="99" customHeight="1">
      <c r="D10" s="841"/>
      <c r="E10" s="843"/>
      <c r="F10" s="843"/>
      <c r="G10" s="843"/>
      <c r="H10" s="825"/>
      <c r="I10" s="829"/>
      <c r="J10" s="260" t="s">
        <v>30</v>
      </c>
      <c r="K10" s="260" t="s">
        <v>31</v>
      </c>
      <c r="L10" s="831"/>
      <c r="M10" s="825"/>
      <c r="N10" s="837"/>
      <c r="O10" s="831"/>
      <c r="P10" s="260" t="s">
        <v>324</v>
      </c>
      <c r="Q10" s="260" t="s">
        <v>325</v>
      </c>
      <c r="R10" s="831"/>
      <c r="S10" s="825"/>
      <c r="T10" s="24">
        <v>1</v>
      </c>
      <c r="U10" s="553"/>
      <c r="V10" s="553"/>
    </row>
    <row r="11" spans="4:23" s="79" customFormat="1" ht="23.25" customHeight="1">
      <c r="D11" s="261">
        <v>1</v>
      </c>
      <c r="E11" s="261">
        <v>2</v>
      </c>
      <c r="F11" s="261">
        <v>3</v>
      </c>
      <c r="G11" s="262">
        <v>4</v>
      </c>
      <c r="H11" s="261">
        <f>G11+1</f>
        <v>5</v>
      </c>
      <c r="I11" s="261">
        <v>6</v>
      </c>
      <c r="J11" s="261">
        <v>7</v>
      </c>
      <c r="K11" s="261">
        <v>8</v>
      </c>
      <c r="L11" s="261">
        <v>9</v>
      </c>
      <c r="M11" s="261">
        <v>10</v>
      </c>
      <c r="N11" s="261">
        <v>11</v>
      </c>
      <c r="O11" s="261">
        <v>12</v>
      </c>
      <c r="P11" s="261">
        <v>13</v>
      </c>
      <c r="Q11" s="261">
        <v>14</v>
      </c>
      <c r="R11" s="261">
        <v>15</v>
      </c>
      <c r="S11" s="78">
        <v>16</v>
      </c>
      <c r="T11" s="79">
        <v>1</v>
      </c>
      <c r="U11" s="639" t="s">
        <v>750</v>
      </c>
      <c r="V11" s="639"/>
      <c r="W11" s="640" t="s">
        <v>136</v>
      </c>
    </row>
    <row r="12" spans="1:24" s="79" customFormat="1" ht="24.75" customHeight="1">
      <c r="A12" s="145" t="s">
        <v>837</v>
      </c>
      <c r="B12" s="144"/>
      <c r="C12" s="144"/>
      <c r="D12" s="275" t="s">
        <v>837</v>
      </c>
      <c r="E12" s="275"/>
      <c r="F12" s="275"/>
      <c r="G12" s="276" t="s">
        <v>917</v>
      </c>
      <c r="H12" s="277">
        <f>H13</f>
        <v>6210031</v>
      </c>
      <c r="I12" s="277">
        <f aca="true" t="shared" si="0" ref="I12:S12">I13</f>
        <v>6210031</v>
      </c>
      <c r="J12" s="277">
        <f t="shared" si="0"/>
        <v>3917843</v>
      </c>
      <c r="K12" s="277">
        <f t="shared" si="0"/>
        <v>250459</v>
      </c>
      <c r="L12" s="277">
        <f t="shared" si="0"/>
        <v>0</v>
      </c>
      <c r="M12" s="277">
        <f t="shared" si="0"/>
        <v>345339</v>
      </c>
      <c r="N12" s="277">
        <f t="shared" si="0"/>
        <v>314829</v>
      </c>
      <c r="O12" s="277">
        <f t="shared" si="0"/>
        <v>30510</v>
      </c>
      <c r="P12" s="277">
        <f t="shared" si="0"/>
        <v>0</v>
      </c>
      <c r="Q12" s="277">
        <f t="shared" si="0"/>
        <v>0</v>
      </c>
      <c r="R12" s="277">
        <f t="shared" si="0"/>
        <v>314829</v>
      </c>
      <c r="S12" s="277">
        <f t="shared" si="0"/>
        <v>6555370</v>
      </c>
      <c r="U12" s="556">
        <v>4763547</v>
      </c>
      <c r="V12" s="559">
        <v>181470</v>
      </c>
      <c r="W12" s="638">
        <v>4945017</v>
      </c>
      <c r="X12" s="638">
        <f>S12-W12</f>
        <v>1610353</v>
      </c>
    </row>
    <row r="13" spans="1:24" s="43" customFormat="1" ht="25.5" customHeight="1">
      <c r="A13" s="143" t="s">
        <v>836</v>
      </c>
      <c r="B13" s="143"/>
      <c r="C13" s="143"/>
      <c r="D13" s="278" t="s">
        <v>836</v>
      </c>
      <c r="E13" s="278"/>
      <c r="F13" s="278"/>
      <c r="G13" s="279" t="s">
        <v>917</v>
      </c>
      <c r="H13" s="280">
        <f>SUM(H14:H17)</f>
        <v>6210031</v>
      </c>
      <c r="I13" s="280">
        <f aca="true" t="shared" si="1" ref="I13:S13">SUM(I14:I17)</f>
        <v>6210031</v>
      </c>
      <c r="J13" s="280">
        <f t="shared" si="1"/>
        <v>3917843</v>
      </c>
      <c r="K13" s="280">
        <f t="shared" si="1"/>
        <v>250459</v>
      </c>
      <c r="L13" s="280">
        <f t="shared" si="1"/>
        <v>0</v>
      </c>
      <c r="M13" s="280">
        <f t="shared" si="1"/>
        <v>345339</v>
      </c>
      <c r="N13" s="280">
        <f t="shared" si="1"/>
        <v>314829</v>
      </c>
      <c r="O13" s="280">
        <f t="shared" si="1"/>
        <v>30510</v>
      </c>
      <c r="P13" s="280">
        <f t="shared" si="1"/>
        <v>0</v>
      </c>
      <c r="Q13" s="280">
        <f t="shared" si="1"/>
        <v>0</v>
      </c>
      <c r="R13" s="280">
        <f t="shared" si="1"/>
        <v>314829</v>
      </c>
      <c r="S13" s="280">
        <f t="shared" si="1"/>
        <v>6555370</v>
      </c>
      <c r="T13" s="43">
        <f>H13+M13</f>
        <v>6555370</v>
      </c>
      <c r="U13" s="556">
        <v>4763547</v>
      </c>
      <c r="V13" s="559">
        <v>181470</v>
      </c>
      <c r="W13" s="638">
        <v>4945017</v>
      </c>
      <c r="X13" s="638">
        <f aca="true" t="shared" si="2" ref="X13:X81">S13-W13</f>
        <v>1610353</v>
      </c>
    </row>
    <row r="14" spans="1:24" s="26" customFormat="1" ht="75" customHeight="1">
      <c r="A14" s="51" t="s">
        <v>471</v>
      </c>
      <c r="B14" s="51" t="s">
        <v>472</v>
      </c>
      <c r="C14" s="51" t="s">
        <v>473</v>
      </c>
      <c r="D14" s="412" t="s">
        <v>1004</v>
      </c>
      <c r="E14" s="412" t="s">
        <v>1005</v>
      </c>
      <c r="F14" s="412" t="s">
        <v>473</v>
      </c>
      <c r="G14" s="413" t="s">
        <v>1003</v>
      </c>
      <c r="H14" s="283">
        <f>I14+L14</f>
        <v>4913773</v>
      </c>
      <c r="I14" s="414">
        <f>4588085+325688</f>
        <v>4913773</v>
      </c>
      <c r="J14" s="414">
        <f>3320472+275000</f>
        <v>3595472</v>
      </c>
      <c r="K14" s="414">
        <v>231192</v>
      </c>
      <c r="L14" s="414"/>
      <c r="M14" s="283">
        <f>O14+R14</f>
        <v>19812</v>
      </c>
      <c r="N14" s="414">
        <v>10152</v>
      </c>
      <c r="O14" s="414">
        <v>9660</v>
      </c>
      <c r="P14" s="414"/>
      <c r="Q14" s="414"/>
      <c r="R14" s="414">
        <v>10152</v>
      </c>
      <c r="S14" s="283">
        <f>H14+M14</f>
        <v>4933585</v>
      </c>
      <c r="T14" s="43">
        <f>H14+M14</f>
        <v>4933585</v>
      </c>
      <c r="U14" s="557">
        <v>4173971</v>
      </c>
      <c r="V14" s="558">
        <v>22212</v>
      </c>
      <c r="W14" s="638">
        <v>4196183</v>
      </c>
      <c r="X14" s="638">
        <f t="shared" si="2"/>
        <v>737402</v>
      </c>
    </row>
    <row r="15" spans="1:24" s="25" customFormat="1" ht="33" customHeight="1">
      <c r="A15" s="51" t="s">
        <v>475</v>
      </c>
      <c r="B15" s="136">
        <v>8600</v>
      </c>
      <c r="C15" s="136" t="s">
        <v>474</v>
      </c>
      <c r="D15" s="412" t="s">
        <v>1006</v>
      </c>
      <c r="E15" s="412" t="s">
        <v>194</v>
      </c>
      <c r="F15" s="412" t="s">
        <v>474</v>
      </c>
      <c r="G15" s="413" t="s">
        <v>111</v>
      </c>
      <c r="H15" s="283">
        <f>I15+L15</f>
        <v>700124</v>
      </c>
      <c r="I15" s="414">
        <f>654184+45940</f>
        <v>700124</v>
      </c>
      <c r="J15" s="414">
        <v>322371</v>
      </c>
      <c r="K15" s="414">
        <v>19267</v>
      </c>
      <c r="L15" s="414"/>
      <c r="M15" s="283">
        <f>O15+R15</f>
        <v>20850</v>
      </c>
      <c r="N15" s="414"/>
      <c r="O15" s="414">
        <v>20850</v>
      </c>
      <c r="P15" s="414"/>
      <c r="Q15" s="414"/>
      <c r="R15" s="414"/>
      <c r="S15" s="283">
        <f>H15+M15</f>
        <v>720974</v>
      </c>
      <c r="T15" s="43">
        <f>H15+M15</f>
        <v>720974</v>
      </c>
      <c r="U15" s="557">
        <v>539576</v>
      </c>
      <c r="V15" s="558">
        <v>22958</v>
      </c>
      <c r="W15" s="638">
        <v>562534</v>
      </c>
      <c r="X15" s="638">
        <f t="shared" si="2"/>
        <v>158440</v>
      </c>
    </row>
    <row r="16" spans="1:24" s="148" customFormat="1" ht="39" customHeight="1">
      <c r="A16" s="147"/>
      <c r="B16" s="147"/>
      <c r="C16" s="147"/>
      <c r="D16" s="410" t="s">
        <v>1010</v>
      </c>
      <c r="E16" s="410" t="s">
        <v>1011</v>
      </c>
      <c r="F16" s="410" t="s">
        <v>11</v>
      </c>
      <c r="G16" s="411" t="s">
        <v>1012</v>
      </c>
      <c r="H16" s="283">
        <f>I16+L16</f>
        <v>596134</v>
      </c>
      <c r="I16" s="282">
        <f>616134-20000</f>
        <v>596134</v>
      </c>
      <c r="J16" s="288"/>
      <c r="K16" s="288"/>
      <c r="L16" s="288"/>
      <c r="M16" s="281">
        <f>O16+R16</f>
        <v>0</v>
      </c>
      <c r="N16" s="282"/>
      <c r="O16" s="288"/>
      <c r="P16" s="288"/>
      <c r="Q16" s="288"/>
      <c r="R16" s="288"/>
      <c r="S16" s="283">
        <f>H16+M16</f>
        <v>596134</v>
      </c>
      <c r="T16" s="43">
        <f aca="true" t="shared" si="3" ref="T16:T25">H16+M16</f>
        <v>596134</v>
      </c>
      <c r="U16" s="557">
        <v>50000</v>
      </c>
      <c r="V16" s="558">
        <v>136300</v>
      </c>
      <c r="W16" s="638">
        <v>186300</v>
      </c>
      <c r="X16" s="638">
        <f t="shared" si="2"/>
        <v>409834</v>
      </c>
    </row>
    <row r="17" spans="1:24" s="148" customFormat="1" ht="39" customHeight="1">
      <c r="A17" s="660"/>
      <c r="B17" s="660"/>
      <c r="C17" s="660"/>
      <c r="D17" s="412" t="s">
        <v>214</v>
      </c>
      <c r="E17" s="412" t="s">
        <v>215</v>
      </c>
      <c r="F17" s="412" t="s">
        <v>650</v>
      </c>
      <c r="G17" s="413" t="s">
        <v>216</v>
      </c>
      <c r="H17" s="283">
        <f>I17+L17</f>
        <v>0</v>
      </c>
      <c r="I17" s="414"/>
      <c r="J17" s="414"/>
      <c r="K17" s="414"/>
      <c r="L17" s="414"/>
      <c r="M17" s="283">
        <f>O17+R17</f>
        <v>304677</v>
      </c>
      <c r="N17" s="414">
        <f>200000+104677</f>
        <v>304677</v>
      </c>
      <c r="O17" s="414"/>
      <c r="P17" s="414"/>
      <c r="Q17" s="414"/>
      <c r="R17" s="414">
        <f>200000+104677</f>
        <v>304677</v>
      </c>
      <c r="S17" s="283">
        <f>H17+M17</f>
        <v>304677</v>
      </c>
      <c r="T17" s="43"/>
      <c r="U17" s="557"/>
      <c r="V17" s="558"/>
      <c r="W17" s="638"/>
      <c r="X17" s="638">
        <f t="shared" si="2"/>
        <v>304677</v>
      </c>
    </row>
    <row r="18" spans="1:24" s="25" customFormat="1" ht="33.75" customHeight="1">
      <c r="A18" s="143" t="s">
        <v>838</v>
      </c>
      <c r="B18" s="51"/>
      <c r="C18" s="51"/>
      <c r="D18" s="278" t="s">
        <v>96</v>
      </c>
      <c r="E18" s="278"/>
      <c r="F18" s="278"/>
      <c r="G18" s="279" t="s">
        <v>918</v>
      </c>
      <c r="H18" s="280">
        <f>H19</f>
        <v>62006890.35</v>
      </c>
      <c r="I18" s="280">
        <f aca="true" t="shared" si="4" ref="I18:S18">I19</f>
        <v>62006890.35</v>
      </c>
      <c r="J18" s="280">
        <f t="shared" si="4"/>
        <v>1574585</v>
      </c>
      <c r="K18" s="280">
        <f t="shared" si="4"/>
        <v>148544</v>
      </c>
      <c r="L18" s="280">
        <f t="shared" si="4"/>
        <v>0</v>
      </c>
      <c r="M18" s="280">
        <f t="shared" si="4"/>
        <v>8741277</v>
      </c>
      <c r="N18" s="280">
        <f t="shared" si="4"/>
        <v>7569968</v>
      </c>
      <c r="O18" s="280">
        <f t="shared" si="4"/>
        <v>1171309</v>
      </c>
      <c r="P18" s="280">
        <f t="shared" si="4"/>
        <v>0</v>
      </c>
      <c r="Q18" s="280">
        <f t="shared" si="4"/>
        <v>0</v>
      </c>
      <c r="R18" s="280">
        <f t="shared" si="4"/>
        <v>7569968</v>
      </c>
      <c r="S18" s="280">
        <f t="shared" si="4"/>
        <v>70748167.35</v>
      </c>
      <c r="T18" s="43">
        <f t="shared" si="3"/>
        <v>70748167.35</v>
      </c>
      <c r="U18" s="557">
        <v>60842525</v>
      </c>
      <c r="V18" s="559">
        <v>6361275.300000012</v>
      </c>
      <c r="W18" s="638">
        <v>67203800.30000001</v>
      </c>
      <c r="X18" s="638">
        <f t="shared" si="2"/>
        <v>3544367.049999982</v>
      </c>
    </row>
    <row r="19" spans="1:24" s="43" customFormat="1" ht="33.75" customHeight="1">
      <c r="A19" s="143" t="s">
        <v>842</v>
      </c>
      <c r="B19" s="143"/>
      <c r="C19" s="143"/>
      <c r="D19" s="278" t="s">
        <v>97</v>
      </c>
      <c r="E19" s="278"/>
      <c r="F19" s="278"/>
      <c r="G19" s="279" t="s">
        <v>918</v>
      </c>
      <c r="H19" s="280">
        <f aca="true" t="shared" si="5" ref="H19:S19">SUM(H20:H35)</f>
        <v>62006890.35</v>
      </c>
      <c r="I19" s="280">
        <f t="shared" si="5"/>
        <v>62006890.35</v>
      </c>
      <c r="J19" s="280">
        <f t="shared" si="5"/>
        <v>1574585</v>
      </c>
      <c r="K19" s="280">
        <f t="shared" si="5"/>
        <v>148544</v>
      </c>
      <c r="L19" s="280">
        <f t="shared" si="5"/>
        <v>0</v>
      </c>
      <c r="M19" s="280">
        <f t="shared" si="5"/>
        <v>8741277</v>
      </c>
      <c r="N19" s="280">
        <f t="shared" si="5"/>
        <v>7569968</v>
      </c>
      <c r="O19" s="280">
        <f t="shared" si="5"/>
        <v>1171309</v>
      </c>
      <c r="P19" s="280">
        <f t="shared" si="5"/>
        <v>0</v>
      </c>
      <c r="Q19" s="280">
        <f t="shared" si="5"/>
        <v>0</v>
      </c>
      <c r="R19" s="280">
        <f t="shared" si="5"/>
        <v>7569968</v>
      </c>
      <c r="S19" s="280">
        <f t="shared" si="5"/>
        <v>70748167.35</v>
      </c>
      <c r="T19" s="43">
        <f t="shared" si="3"/>
        <v>70748167.35</v>
      </c>
      <c r="U19" s="557">
        <v>60842525</v>
      </c>
      <c r="V19" s="559">
        <v>6361275.300000012</v>
      </c>
      <c r="W19" s="638">
        <v>67203800.30000001</v>
      </c>
      <c r="X19" s="638">
        <f t="shared" si="2"/>
        <v>3544367.049999982</v>
      </c>
    </row>
    <row r="20" spans="1:24" s="43" customFormat="1" ht="33.75" customHeight="1">
      <c r="A20" s="51" t="s">
        <v>892</v>
      </c>
      <c r="B20" s="51" t="s">
        <v>476</v>
      </c>
      <c r="C20" s="51" t="s">
        <v>474</v>
      </c>
      <c r="D20" s="412" t="s">
        <v>110</v>
      </c>
      <c r="E20" s="412" t="s">
        <v>194</v>
      </c>
      <c r="F20" s="412" t="s">
        <v>474</v>
      </c>
      <c r="G20" s="413" t="s">
        <v>111</v>
      </c>
      <c r="H20" s="281">
        <f aca="true" t="shared" si="6" ref="H20:H29">I20+L20</f>
        <v>235000</v>
      </c>
      <c r="I20" s="282">
        <f>175000+60000</f>
        <v>235000</v>
      </c>
      <c r="J20" s="282"/>
      <c r="K20" s="282"/>
      <c r="L20" s="282"/>
      <c r="M20" s="282">
        <f aca="true" t="shared" si="7" ref="M20:M34">O20+R20</f>
        <v>0</v>
      </c>
      <c r="N20" s="282"/>
      <c r="O20" s="282"/>
      <c r="P20" s="282"/>
      <c r="Q20" s="282"/>
      <c r="R20" s="282"/>
      <c r="S20" s="281">
        <f>H20+M20</f>
        <v>235000</v>
      </c>
      <c r="T20" s="43">
        <f t="shared" si="3"/>
        <v>235000</v>
      </c>
      <c r="U20" s="557">
        <v>80000</v>
      </c>
      <c r="V20" s="558">
        <v>25000</v>
      </c>
      <c r="W20" s="638">
        <v>105000</v>
      </c>
      <c r="X20" s="638">
        <f t="shared" si="2"/>
        <v>130000</v>
      </c>
    </row>
    <row r="21" spans="1:24" s="26" customFormat="1" ht="34.5" customHeight="1">
      <c r="A21" s="51" t="s">
        <v>841</v>
      </c>
      <c r="B21" s="51">
        <v>2010</v>
      </c>
      <c r="C21" s="51" t="s">
        <v>840</v>
      </c>
      <c r="D21" s="412" t="s">
        <v>98</v>
      </c>
      <c r="E21" s="412">
        <v>2010</v>
      </c>
      <c r="F21" s="412" t="s">
        <v>840</v>
      </c>
      <c r="G21" s="413" t="s">
        <v>839</v>
      </c>
      <c r="H21" s="281">
        <f t="shared" si="6"/>
        <v>45948552.54</v>
      </c>
      <c r="I21" s="282">
        <f>45839327.19+109225.35</f>
        <v>45948552.54</v>
      </c>
      <c r="J21" s="282"/>
      <c r="K21" s="282"/>
      <c r="L21" s="282">
        <v>0</v>
      </c>
      <c r="M21" s="281">
        <f t="shared" si="7"/>
        <v>6448213</v>
      </c>
      <c r="N21" s="282">
        <f>6338213+110000</f>
        <v>6448213</v>
      </c>
      <c r="O21" s="282"/>
      <c r="P21" s="282"/>
      <c r="Q21" s="282"/>
      <c r="R21" s="282">
        <f>6338213+110000</f>
        <v>6448213</v>
      </c>
      <c r="S21" s="281">
        <f aca="true" t="shared" si="8" ref="S21:S35">H21+M21</f>
        <v>52396765.54</v>
      </c>
      <c r="T21" s="43">
        <f t="shared" si="3"/>
        <v>52396765.54</v>
      </c>
      <c r="U21" s="557">
        <v>46158093</v>
      </c>
      <c r="V21" s="558">
        <v>5128393.490000002</v>
      </c>
      <c r="W21" s="638">
        <v>51286486.49</v>
      </c>
      <c r="X21" s="638">
        <f t="shared" si="2"/>
        <v>1110279.049999997</v>
      </c>
    </row>
    <row r="22" spans="1:24" s="26" customFormat="1" ht="25.5" customHeight="1">
      <c r="A22" s="51" t="s">
        <v>198</v>
      </c>
      <c r="B22" s="51" t="s">
        <v>843</v>
      </c>
      <c r="C22" s="51" t="s">
        <v>844</v>
      </c>
      <c r="D22" s="412" t="s">
        <v>99</v>
      </c>
      <c r="E22" s="412" t="s">
        <v>1007</v>
      </c>
      <c r="F22" s="412" t="s">
        <v>844</v>
      </c>
      <c r="G22" s="413" t="s">
        <v>1008</v>
      </c>
      <c r="H22" s="281">
        <f t="shared" si="6"/>
        <v>5946111.91</v>
      </c>
      <c r="I22" s="282">
        <f>5906886.91+39225</f>
        <v>5946111.91</v>
      </c>
      <c r="J22" s="282"/>
      <c r="K22" s="282"/>
      <c r="L22" s="282"/>
      <c r="M22" s="281">
        <f t="shared" si="7"/>
        <v>997809</v>
      </c>
      <c r="N22" s="282">
        <v>60000</v>
      </c>
      <c r="O22" s="282">
        <v>937809</v>
      </c>
      <c r="P22" s="282"/>
      <c r="Q22" s="282"/>
      <c r="R22" s="282">
        <v>60000</v>
      </c>
      <c r="S22" s="281">
        <f t="shared" si="8"/>
        <v>6943920.91</v>
      </c>
      <c r="T22" s="43">
        <f t="shared" si="3"/>
        <v>6943920.91</v>
      </c>
      <c r="U22" s="557">
        <v>6646353</v>
      </c>
      <c r="V22" s="558">
        <v>258342.91000000015</v>
      </c>
      <c r="W22" s="638">
        <v>6904695.91</v>
      </c>
      <c r="X22" s="638">
        <f t="shared" si="2"/>
        <v>39225</v>
      </c>
    </row>
    <row r="23" spans="1:24" s="26" customFormat="1" ht="55.5" customHeight="1">
      <c r="A23" s="51" t="s">
        <v>199</v>
      </c>
      <c r="B23" s="51">
        <v>2180</v>
      </c>
      <c r="C23" s="51" t="s">
        <v>845</v>
      </c>
      <c r="D23" s="412" t="s">
        <v>179</v>
      </c>
      <c r="E23" s="412" t="s">
        <v>1009</v>
      </c>
      <c r="F23" s="412" t="s">
        <v>845</v>
      </c>
      <c r="G23" s="413" t="s">
        <v>95</v>
      </c>
      <c r="H23" s="281">
        <f t="shared" si="6"/>
        <v>2793840.9</v>
      </c>
      <c r="I23" s="282">
        <f>2545424.9+248416</f>
        <v>2793840.9</v>
      </c>
      <c r="J23" s="282"/>
      <c r="K23" s="282"/>
      <c r="L23" s="282">
        <v>0</v>
      </c>
      <c r="M23" s="281">
        <f t="shared" si="7"/>
        <v>110895</v>
      </c>
      <c r="N23" s="282">
        <v>110895</v>
      </c>
      <c r="O23" s="282"/>
      <c r="P23" s="282"/>
      <c r="Q23" s="282"/>
      <c r="R23" s="282">
        <v>110895</v>
      </c>
      <c r="S23" s="281">
        <f t="shared" si="8"/>
        <v>2904735.9</v>
      </c>
      <c r="T23" s="43">
        <f t="shared" si="3"/>
        <v>2904735.9</v>
      </c>
      <c r="U23" s="557">
        <v>2827112</v>
      </c>
      <c r="V23" s="558">
        <v>-619544.1000000001</v>
      </c>
      <c r="W23" s="638">
        <v>2207567.9</v>
      </c>
      <c r="X23" s="638">
        <f t="shared" si="2"/>
        <v>697168</v>
      </c>
    </row>
    <row r="24" spans="1:24" s="26" customFormat="1" ht="42.75" customHeight="1">
      <c r="A24" s="51"/>
      <c r="B24" s="51"/>
      <c r="C24" s="51"/>
      <c r="D24" s="412" t="s">
        <v>418</v>
      </c>
      <c r="E24" s="412" t="s">
        <v>419</v>
      </c>
      <c r="F24" s="412" t="s">
        <v>921</v>
      </c>
      <c r="G24" s="413" t="s">
        <v>420</v>
      </c>
      <c r="H24" s="281">
        <f t="shared" si="6"/>
        <v>219380</v>
      </c>
      <c r="I24" s="282">
        <f>169380+50000</f>
        <v>219380</v>
      </c>
      <c r="J24" s="282"/>
      <c r="K24" s="282"/>
      <c r="L24" s="282"/>
      <c r="M24" s="281">
        <f t="shared" si="7"/>
        <v>0</v>
      </c>
      <c r="N24" s="282"/>
      <c r="O24" s="282"/>
      <c r="P24" s="282"/>
      <c r="Q24" s="282"/>
      <c r="R24" s="282"/>
      <c r="S24" s="281">
        <f t="shared" si="8"/>
        <v>219380</v>
      </c>
      <c r="T24" s="43"/>
      <c r="U24" s="557">
        <v>0</v>
      </c>
      <c r="V24" s="558">
        <v>164003</v>
      </c>
      <c r="W24" s="638">
        <v>164003</v>
      </c>
      <c r="X24" s="638">
        <f t="shared" si="2"/>
        <v>55377</v>
      </c>
    </row>
    <row r="25" spans="1:24" s="26" customFormat="1" ht="36.75" customHeight="1">
      <c r="A25" s="147" t="s">
        <v>919</v>
      </c>
      <c r="B25" s="147" t="s">
        <v>920</v>
      </c>
      <c r="C25" s="147" t="s">
        <v>921</v>
      </c>
      <c r="D25" s="412" t="s">
        <v>100</v>
      </c>
      <c r="E25" s="412" t="s">
        <v>101</v>
      </c>
      <c r="F25" s="412" t="s">
        <v>921</v>
      </c>
      <c r="G25" s="413" t="s">
        <v>102</v>
      </c>
      <c r="H25" s="281">
        <f t="shared" si="6"/>
        <v>1659220</v>
      </c>
      <c r="I25" s="282">
        <f>1629220+30000</f>
        <v>1659220</v>
      </c>
      <c r="J25" s="282"/>
      <c r="K25" s="282"/>
      <c r="L25" s="282"/>
      <c r="M25" s="281">
        <f t="shared" si="7"/>
        <v>0</v>
      </c>
      <c r="N25" s="282"/>
      <c r="O25" s="282"/>
      <c r="P25" s="282"/>
      <c r="Q25" s="282"/>
      <c r="R25" s="282"/>
      <c r="S25" s="281">
        <f t="shared" si="8"/>
        <v>1659220</v>
      </c>
      <c r="T25" s="43">
        <f t="shared" si="3"/>
        <v>1659220</v>
      </c>
      <c r="U25" s="557">
        <v>1347400</v>
      </c>
      <c r="V25" s="558">
        <v>0</v>
      </c>
      <c r="W25" s="638">
        <v>1347400</v>
      </c>
      <c r="X25" s="638">
        <f t="shared" si="2"/>
        <v>311820</v>
      </c>
    </row>
    <row r="26" spans="1:24" s="26" customFormat="1" ht="39" customHeight="1">
      <c r="A26" s="51"/>
      <c r="B26" s="51"/>
      <c r="C26" s="51"/>
      <c r="D26" s="412" t="s">
        <v>828</v>
      </c>
      <c r="E26" s="412" t="s">
        <v>827</v>
      </c>
      <c r="F26" s="412" t="s">
        <v>921</v>
      </c>
      <c r="G26" s="653" t="s">
        <v>826</v>
      </c>
      <c r="H26" s="281">
        <f t="shared" si="6"/>
        <v>315805</v>
      </c>
      <c r="I26" s="282">
        <v>315805</v>
      </c>
      <c r="J26" s="281"/>
      <c r="K26" s="281"/>
      <c r="L26" s="281"/>
      <c r="M26" s="281">
        <f t="shared" si="7"/>
        <v>0</v>
      </c>
      <c r="N26" s="282"/>
      <c r="O26" s="281"/>
      <c r="P26" s="281"/>
      <c r="Q26" s="281"/>
      <c r="R26" s="281"/>
      <c r="S26" s="281">
        <f t="shared" si="8"/>
        <v>315805</v>
      </c>
      <c r="T26" s="43">
        <f aca="true" t="shared" si="9" ref="T26:T89">H26+M26</f>
        <v>315805</v>
      </c>
      <c r="U26" s="557">
        <v>267300</v>
      </c>
      <c r="V26" s="558">
        <v>0</v>
      </c>
      <c r="W26" s="638">
        <v>267300</v>
      </c>
      <c r="X26" s="638">
        <f t="shared" si="2"/>
        <v>48505</v>
      </c>
    </row>
    <row r="27" spans="1:24" s="26" customFormat="1" ht="39" customHeight="1">
      <c r="A27" s="51"/>
      <c r="B27" s="51"/>
      <c r="C27" s="51"/>
      <c r="D27" s="412" t="s">
        <v>421</v>
      </c>
      <c r="E27" s="412" t="s">
        <v>422</v>
      </c>
      <c r="F27" s="412" t="s">
        <v>921</v>
      </c>
      <c r="G27" s="654" t="s">
        <v>423</v>
      </c>
      <c r="H27" s="281">
        <f t="shared" si="6"/>
        <v>1352313</v>
      </c>
      <c r="I27" s="282">
        <f>1492353-140040</f>
        <v>1352313</v>
      </c>
      <c r="J27" s="281"/>
      <c r="K27" s="281"/>
      <c r="L27" s="281"/>
      <c r="M27" s="281">
        <f t="shared" si="7"/>
        <v>0</v>
      </c>
      <c r="N27" s="282"/>
      <c r="O27" s="281"/>
      <c r="P27" s="281"/>
      <c r="Q27" s="281"/>
      <c r="R27" s="281"/>
      <c r="S27" s="281">
        <f t="shared" si="8"/>
        <v>1352313</v>
      </c>
      <c r="T27" s="43"/>
      <c r="U27" s="557">
        <v>903617</v>
      </c>
      <c r="V27" s="558">
        <v>303863</v>
      </c>
      <c r="W27" s="638">
        <v>1207480</v>
      </c>
      <c r="X27" s="638">
        <f t="shared" si="2"/>
        <v>144833</v>
      </c>
    </row>
    <row r="28" spans="1:24" s="26" customFormat="1" ht="40.5" customHeight="1">
      <c r="A28" s="147" t="s">
        <v>200</v>
      </c>
      <c r="B28" s="147">
        <v>3131</v>
      </c>
      <c r="C28" s="147">
        <v>1040</v>
      </c>
      <c r="D28" s="412" t="s">
        <v>103</v>
      </c>
      <c r="E28" s="412" t="s">
        <v>105</v>
      </c>
      <c r="F28" s="412">
        <v>1040</v>
      </c>
      <c r="G28" s="428" t="s">
        <v>104</v>
      </c>
      <c r="H28" s="281">
        <f t="shared" si="6"/>
        <v>916317</v>
      </c>
      <c r="I28" s="282">
        <f>915217+1100</f>
        <v>916317</v>
      </c>
      <c r="J28" s="282">
        <v>717013</v>
      </c>
      <c r="K28" s="282">
        <v>26435</v>
      </c>
      <c r="L28" s="282"/>
      <c r="M28" s="281">
        <f t="shared" si="7"/>
        <v>0</v>
      </c>
      <c r="N28" s="282"/>
      <c r="O28" s="282"/>
      <c r="P28" s="282"/>
      <c r="Q28" s="282"/>
      <c r="R28" s="282"/>
      <c r="S28" s="281">
        <f t="shared" si="8"/>
        <v>916317</v>
      </c>
      <c r="T28" s="43">
        <f t="shared" si="9"/>
        <v>916317</v>
      </c>
      <c r="U28" s="557">
        <v>903617</v>
      </c>
      <c r="V28" s="558">
        <v>600</v>
      </c>
      <c r="W28" s="638">
        <v>904217</v>
      </c>
      <c r="X28" s="638">
        <f t="shared" si="2"/>
        <v>12100</v>
      </c>
    </row>
    <row r="29" spans="1:24" s="25" customFormat="1" ht="44.25" customHeight="1">
      <c r="A29" s="147"/>
      <c r="B29" s="147"/>
      <c r="C29" s="147"/>
      <c r="D29" s="412" t="s">
        <v>1013</v>
      </c>
      <c r="E29" s="412" t="s">
        <v>1011</v>
      </c>
      <c r="F29" s="412" t="s">
        <v>11</v>
      </c>
      <c r="G29" s="413" t="s">
        <v>1012</v>
      </c>
      <c r="H29" s="281">
        <f t="shared" si="6"/>
        <v>147670</v>
      </c>
      <c r="I29" s="282">
        <f>144670+3000</f>
        <v>147670</v>
      </c>
      <c r="J29" s="282"/>
      <c r="K29" s="282"/>
      <c r="L29" s="282"/>
      <c r="M29" s="281">
        <f t="shared" si="7"/>
        <v>0</v>
      </c>
      <c r="N29" s="282"/>
      <c r="O29" s="282"/>
      <c r="P29" s="282">
        <v>0</v>
      </c>
      <c r="Q29" s="282"/>
      <c r="R29" s="282"/>
      <c r="S29" s="281">
        <f t="shared" si="8"/>
        <v>147670</v>
      </c>
      <c r="T29" s="43">
        <f t="shared" si="9"/>
        <v>147670</v>
      </c>
      <c r="U29" s="557">
        <v>74670</v>
      </c>
      <c r="V29" s="558">
        <v>64000</v>
      </c>
      <c r="W29" s="638">
        <v>138670</v>
      </c>
      <c r="X29" s="638">
        <f t="shared" si="2"/>
        <v>9000</v>
      </c>
    </row>
    <row r="30" spans="1:24" s="148" customFormat="1" ht="46.5" customHeight="1">
      <c r="A30" s="147"/>
      <c r="B30" s="147"/>
      <c r="C30" s="147"/>
      <c r="D30" s="412" t="s">
        <v>107</v>
      </c>
      <c r="E30" s="412" t="s">
        <v>882</v>
      </c>
      <c r="F30" s="412" t="s">
        <v>889</v>
      </c>
      <c r="G30" s="413" t="s">
        <v>106</v>
      </c>
      <c r="H30" s="281">
        <f>I30+L30</f>
        <v>1292128</v>
      </c>
      <c r="I30" s="282">
        <v>1292128</v>
      </c>
      <c r="J30" s="282">
        <v>857572</v>
      </c>
      <c r="K30" s="282">
        <v>122109</v>
      </c>
      <c r="L30" s="282"/>
      <c r="M30" s="281">
        <f t="shared" si="7"/>
        <v>240000</v>
      </c>
      <c r="N30" s="282">
        <v>240000</v>
      </c>
      <c r="O30" s="282">
        <v>0</v>
      </c>
      <c r="P30" s="282">
        <v>0</v>
      </c>
      <c r="Q30" s="282">
        <v>0</v>
      </c>
      <c r="R30" s="282">
        <v>240000</v>
      </c>
      <c r="S30" s="281">
        <f t="shared" si="8"/>
        <v>1532128</v>
      </c>
      <c r="T30" s="43"/>
      <c r="U30" s="557"/>
      <c r="V30" s="558">
        <v>1232128</v>
      </c>
      <c r="W30" s="638">
        <v>1232128</v>
      </c>
      <c r="X30" s="638">
        <f t="shared" si="2"/>
        <v>300000</v>
      </c>
    </row>
    <row r="31" spans="1:24" s="148" customFormat="1" ht="44.25" customHeight="1">
      <c r="A31" s="147"/>
      <c r="B31" s="147"/>
      <c r="C31" s="147"/>
      <c r="D31" s="412" t="s">
        <v>108</v>
      </c>
      <c r="E31" s="412" t="s">
        <v>883</v>
      </c>
      <c r="F31" s="412" t="s">
        <v>889</v>
      </c>
      <c r="G31" s="413" t="s">
        <v>891</v>
      </c>
      <c r="H31" s="281">
        <f>I31+L31</f>
        <v>865004</v>
      </c>
      <c r="I31" s="282">
        <f>845004+20000</f>
        <v>865004</v>
      </c>
      <c r="J31" s="282"/>
      <c r="K31" s="281"/>
      <c r="L31" s="282"/>
      <c r="M31" s="281">
        <f t="shared" si="7"/>
        <v>0</v>
      </c>
      <c r="N31" s="282"/>
      <c r="O31" s="282">
        <v>0</v>
      </c>
      <c r="P31" s="282">
        <v>0</v>
      </c>
      <c r="Q31" s="282">
        <v>0</v>
      </c>
      <c r="R31" s="282"/>
      <c r="S31" s="281">
        <f t="shared" si="8"/>
        <v>865004</v>
      </c>
      <c r="T31" s="43"/>
      <c r="U31" s="557">
        <v>762061</v>
      </c>
      <c r="V31" s="558">
        <v>47943</v>
      </c>
      <c r="W31" s="638">
        <v>810004</v>
      </c>
      <c r="X31" s="638">
        <f t="shared" si="2"/>
        <v>55000</v>
      </c>
    </row>
    <row r="32" spans="1:24" s="148" customFormat="1" ht="59.25" customHeight="1">
      <c r="A32" s="147"/>
      <c r="B32" s="147"/>
      <c r="C32" s="147"/>
      <c r="D32" s="412" t="s">
        <v>109</v>
      </c>
      <c r="E32" s="412" t="s">
        <v>1001</v>
      </c>
      <c r="F32" s="412" t="s">
        <v>889</v>
      </c>
      <c r="G32" s="413" t="s">
        <v>1000</v>
      </c>
      <c r="H32" s="281">
        <f>I32+L32</f>
        <v>315548</v>
      </c>
      <c r="I32" s="282">
        <v>315548</v>
      </c>
      <c r="J32" s="282"/>
      <c r="K32" s="282"/>
      <c r="L32" s="282">
        <v>0</v>
      </c>
      <c r="M32" s="281">
        <f t="shared" si="7"/>
        <v>0</v>
      </c>
      <c r="N32" s="282"/>
      <c r="O32" s="282"/>
      <c r="P32" s="282">
        <v>0</v>
      </c>
      <c r="Q32" s="282">
        <v>0</v>
      </c>
      <c r="R32" s="282">
        <v>0</v>
      </c>
      <c r="S32" s="281">
        <f t="shared" si="8"/>
        <v>315548</v>
      </c>
      <c r="T32" s="43"/>
      <c r="U32" s="557">
        <v>310291</v>
      </c>
      <c r="V32" s="558">
        <v>-14743</v>
      </c>
      <c r="W32" s="638">
        <v>295548</v>
      </c>
      <c r="X32" s="638">
        <f t="shared" si="2"/>
        <v>20000</v>
      </c>
    </row>
    <row r="33" spans="1:24" s="148" customFormat="1" ht="31.5" customHeight="1">
      <c r="A33" s="147"/>
      <c r="B33" s="147"/>
      <c r="C33" s="147"/>
      <c r="D33" s="412" t="s">
        <v>961</v>
      </c>
      <c r="E33" s="412" t="s">
        <v>962</v>
      </c>
      <c r="F33" s="412" t="s">
        <v>650</v>
      </c>
      <c r="G33" s="413" t="s">
        <v>963</v>
      </c>
      <c r="H33" s="281">
        <f>I33+L33</f>
        <v>0</v>
      </c>
      <c r="I33" s="282"/>
      <c r="J33" s="282"/>
      <c r="K33" s="282"/>
      <c r="L33" s="282"/>
      <c r="M33" s="281">
        <f t="shared" si="7"/>
        <v>611060</v>
      </c>
      <c r="N33" s="282">
        <f>361060+250000</f>
        <v>611060</v>
      </c>
      <c r="O33" s="282"/>
      <c r="P33" s="282"/>
      <c r="Q33" s="282"/>
      <c r="R33" s="282">
        <f>361060+250000</f>
        <v>611060</v>
      </c>
      <c r="S33" s="281">
        <f t="shared" si="8"/>
        <v>611060</v>
      </c>
      <c r="T33" s="43"/>
      <c r="U33" s="557"/>
      <c r="V33" s="558"/>
      <c r="W33" s="638"/>
      <c r="X33" s="638">
        <f t="shared" si="2"/>
        <v>611060</v>
      </c>
    </row>
    <row r="34" spans="1:24" s="148" customFormat="1" ht="39" customHeight="1">
      <c r="A34" s="147"/>
      <c r="B34" s="147"/>
      <c r="C34" s="147"/>
      <c r="D34" s="412" t="s">
        <v>620</v>
      </c>
      <c r="E34" s="412" t="s">
        <v>621</v>
      </c>
      <c r="F34" s="412" t="s">
        <v>663</v>
      </c>
      <c r="G34" s="413" t="s">
        <v>622</v>
      </c>
      <c r="H34" s="281">
        <f>I34+L34</f>
        <v>0</v>
      </c>
      <c r="I34" s="282"/>
      <c r="J34" s="282"/>
      <c r="K34" s="282"/>
      <c r="L34" s="282"/>
      <c r="M34" s="281">
        <f t="shared" si="7"/>
        <v>99800</v>
      </c>
      <c r="N34" s="282">
        <v>99800</v>
      </c>
      <c r="O34" s="282"/>
      <c r="P34" s="282"/>
      <c r="Q34" s="282"/>
      <c r="R34" s="282">
        <v>99800</v>
      </c>
      <c r="S34" s="281">
        <f t="shared" si="8"/>
        <v>99800</v>
      </c>
      <c r="T34" s="43"/>
      <c r="U34" s="557">
        <v>0</v>
      </c>
      <c r="V34" s="558">
        <v>99800</v>
      </c>
      <c r="W34" s="638">
        <v>99800</v>
      </c>
      <c r="X34" s="638">
        <f t="shared" si="2"/>
        <v>0</v>
      </c>
    </row>
    <row r="35" spans="1:24" s="148" customFormat="1" ht="51" customHeight="1">
      <c r="A35" s="147"/>
      <c r="B35" s="147"/>
      <c r="C35" s="147"/>
      <c r="D35" s="412" t="s">
        <v>793</v>
      </c>
      <c r="E35" s="412" t="s">
        <v>794</v>
      </c>
      <c r="F35" s="412" t="s">
        <v>884</v>
      </c>
      <c r="G35" s="419" t="s">
        <v>619</v>
      </c>
      <c r="H35" s="281"/>
      <c r="I35" s="281"/>
      <c r="J35" s="281"/>
      <c r="K35" s="281"/>
      <c r="L35" s="281"/>
      <c r="M35" s="281">
        <f>O35</f>
        <v>233500</v>
      </c>
      <c r="N35" s="281"/>
      <c r="O35" s="282">
        <v>233500</v>
      </c>
      <c r="P35" s="281"/>
      <c r="Q35" s="281"/>
      <c r="R35" s="281"/>
      <c r="S35" s="281">
        <f t="shared" si="8"/>
        <v>233500</v>
      </c>
      <c r="T35" s="43"/>
      <c r="U35" s="557">
        <v>233500</v>
      </c>
      <c r="V35" s="558">
        <v>0</v>
      </c>
      <c r="W35" s="638">
        <v>233500</v>
      </c>
      <c r="X35" s="638">
        <f t="shared" si="2"/>
        <v>0</v>
      </c>
    </row>
    <row r="36" spans="1:24" s="25" customFormat="1" ht="56.25" customHeight="1">
      <c r="A36" s="143" t="s">
        <v>12</v>
      </c>
      <c r="B36" s="136"/>
      <c r="C36" s="136"/>
      <c r="D36" s="278" t="s">
        <v>604</v>
      </c>
      <c r="E36" s="284"/>
      <c r="F36" s="284"/>
      <c r="G36" s="279" t="s">
        <v>528</v>
      </c>
      <c r="H36" s="280">
        <f>H37</f>
        <v>124769786.53</v>
      </c>
      <c r="I36" s="280">
        <f aca="true" t="shared" si="10" ref="I36:S36">I37</f>
        <v>124769786.53</v>
      </c>
      <c r="J36" s="280">
        <f t="shared" si="10"/>
        <v>84515033</v>
      </c>
      <c r="K36" s="280">
        <f t="shared" si="10"/>
        <v>10237152</v>
      </c>
      <c r="L36" s="280">
        <f t="shared" si="10"/>
        <v>0</v>
      </c>
      <c r="M36" s="280">
        <f t="shared" si="10"/>
        <v>3107202</v>
      </c>
      <c r="N36" s="280">
        <f t="shared" si="10"/>
        <v>2937300</v>
      </c>
      <c r="O36" s="280">
        <f t="shared" si="10"/>
        <v>169902</v>
      </c>
      <c r="P36" s="280">
        <f t="shared" si="10"/>
        <v>27800</v>
      </c>
      <c r="Q36" s="280">
        <f t="shared" si="10"/>
        <v>0</v>
      </c>
      <c r="R36" s="280">
        <f t="shared" si="10"/>
        <v>2937300</v>
      </c>
      <c r="S36" s="280">
        <f t="shared" si="10"/>
        <v>127876988.53</v>
      </c>
      <c r="T36" s="43">
        <f t="shared" si="9"/>
        <v>127876988.53</v>
      </c>
      <c r="U36" s="557">
        <v>114905347</v>
      </c>
      <c r="V36" s="559">
        <v>10016249.530000001</v>
      </c>
      <c r="W36" s="638">
        <v>124921596.53</v>
      </c>
      <c r="X36" s="638">
        <f t="shared" si="2"/>
        <v>2955392</v>
      </c>
    </row>
    <row r="37" spans="1:24" s="152" customFormat="1" ht="60.75" customHeight="1">
      <c r="A37" s="151" t="s">
        <v>1034</v>
      </c>
      <c r="B37" s="151"/>
      <c r="C37" s="151"/>
      <c r="D37" s="278" t="s">
        <v>605</v>
      </c>
      <c r="E37" s="278"/>
      <c r="F37" s="278"/>
      <c r="G37" s="279" t="s">
        <v>528</v>
      </c>
      <c r="H37" s="280">
        <f>SUM(H38:H46)</f>
        <v>124769786.53</v>
      </c>
      <c r="I37" s="280">
        <f aca="true" t="shared" si="11" ref="I37:S37">SUM(I38:I46)</f>
        <v>124769786.53</v>
      </c>
      <c r="J37" s="280">
        <f t="shared" si="11"/>
        <v>84515033</v>
      </c>
      <c r="K37" s="280">
        <f t="shared" si="11"/>
        <v>10237152</v>
      </c>
      <c r="L37" s="280">
        <f t="shared" si="11"/>
        <v>0</v>
      </c>
      <c r="M37" s="280">
        <f t="shared" si="11"/>
        <v>3107202</v>
      </c>
      <c r="N37" s="280">
        <f t="shared" si="11"/>
        <v>2937300</v>
      </c>
      <c r="O37" s="280">
        <f t="shared" si="11"/>
        <v>169902</v>
      </c>
      <c r="P37" s="280">
        <f t="shared" si="11"/>
        <v>27800</v>
      </c>
      <c r="Q37" s="280">
        <f t="shared" si="11"/>
        <v>0</v>
      </c>
      <c r="R37" s="280">
        <f t="shared" si="11"/>
        <v>2937300</v>
      </c>
      <c r="S37" s="280">
        <f t="shared" si="11"/>
        <v>127876988.53</v>
      </c>
      <c r="T37" s="43">
        <f t="shared" si="9"/>
        <v>127876988.53</v>
      </c>
      <c r="U37" s="557">
        <v>114905347</v>
      </c>
      <c r="V37" s="559">
        <v>10016249.530000001</v>
      </c>
      <c r="W37" s="638">
        <v>124921596.53</v>
      </c>
      <c r="X37" s="638">
        <f t="shared" si="2"/>
        <v>2955392</v>
      </c>
    </row>
    <row r="38" spans="1:24" s="26" customFormat="1" ht="77.25" customHeight="1">
      <c r="A38" s="51" t="s">
        <v>1028</v>
      </c>
      <c r="B38" s="51">
        <v>1020</v>
      </c>
      <c r="C38" s="51" t="s">
        <v>205</v>
      </c>
      <c r="D38" s="412" t="s">
        <v>603</v>
      </c>
      <c r="E38" s="412">
        <v>1020</v>
      </c>
      <c r="F38" s="412" t="s">
        <v>205</v>
      </c>
      <c r="G38" s="413" t="s">
        <v>602</v>
      </c>
      <c r="H38" s="281">
        <f aca="true" t="shared" si="12" ref="H38:H46">L38+I38</f>
        <v>115967631.53</v>
      </c>
      <c r="I38" s="282">
        <f>116018539.53-50908</f>
        <v>115967631.53</v>
      </c>
      <c r="J38" s="282">
        <v>78482235</v>
      </c>
      <c r="K38" s="282">
        <v>9888499</v>
      </c>
      <c r="L38" s="282"/>
      <c r="M38" s="281">
        <f aca="true" t="shared" si="13" ref="M38:M46">O38+R38</f>
        <v>2567202</v>
      </c>
      <c r="N38" s="282">
        <f>2092750+304550</f>
        <v>2397300</v>
      </c>
      <c r="O38" s="282">
        <v>169902</v>
      </c>
      <c r="P38" s="282">
        <v>27800</v>
      </c>
      <c r="Q38" s="282"/>
      <c r="R38" s="282">
        <f>2092750+304550</f>
        <v>2397300</v>
      </c>
      <c r="S38" s="283">
        <f aca="true" t="shared" si="14" ref="S38:S47">H38+M38</f>
        <v>118534833.53</v>
      </c>
      <c r="T38" s="43">
        <f t="shared" si="9"/>
        <v>118534833.53</v>
      </c>
      <c r="U38" s="557">
        <v>106248100</v>
      </c>
      <c r="V38" s="558">
        <v>9516249.530000001</v>
      </c>
      <c r="W38" s="638">
        <v>115764349.53</v>
      </c>
      <c r="X38" s="638">
        <f t="shared" si="2"/>
        <v>2770484</v>
      </c>
    </row>
    <row r="39" spans="1:24" s="26" customFormat="1" ht="48.75" customHeight="1">
      <c r="A39" s="51" t="s">
        <v>1031</v>
      </c>
      <c r="B39" s="51">
        <v>1090</v>
      </c>
      <c r="C39" s="51" t="s">
        <v>1030</v>
      </c>
      <c r="D39" s="412" t="s">
        <v>180</v>
      </c>
      <c r="E39" s="412" t="s">
        <v>11</v>
      </c>
      <c r="F39" s="412" t="s">
        <v>1030</v>
      </c>
      <c r="G39" s="413" t="s">
        <v>1029</v>
      </c>
      <c r="H39" s="281">
        <f t="shared" si="12"/>
        <v>1937823</v>
      </c>
      <c r="I39" s="282">
        <f>1924973+12850</f>
        <v>1937823</v>
      </c>
      <c r="J39" s="282">
        <v>1546706</v>
      </c>
      <c r="K39" s="282">
        <v>14443</v>
      </c>
      <c r="L39" s="282">
        <v>0</v>
      </c>
      <c r="M39" s="281">
        <f t="shared" si="13"/>
        <v>0</v>
      </c>
      <c r="N39" s="282"/>
      <c r="O39" s="282"/>
      <c r="P39" s="282"/>
      <c r="Q39" s="282"/>
      <c r="R39" s="282"/>
      <c r="S39" s="283">
        <f t="shared" si="14"/>
        <v>1937823</v>
      </c>
      <c r="T39" s="43">
        <f t="shared" si="9"/>
        <v>1937823</v>
      </c>
      <c r="U39" s="557">
        <v>1902573</v>
      </c>
      <c r="V39" s="558">
        <v>0</v>
      </c>
      <c r="W39" s="638">
        <v>1902573</v>
      </c>
      <c r="X39" s="638">
        <f t="shared" si="2"/>
        <v>35250</v>
      </c>
    </row>
    <row r="40" spans="1:24" s="154" customFormat="1" ht="31.5" customHeight="1">
      <c r="A40" s="153" t="s">
        <v>1033</v>
      </c>
      <c r="B40" s="153">
        <v>1170</v>
      </c>
      <c r="C40" s="153" t="s">
        <v>1032</v>
      </c>
      <c r="D40" s="412" t="s">
        <v>607</v>
      </c>
      <c r="E40" s="412" t="s">
        <v>608</v>
      </c>
      <c r="F40" s="412" t="s">
        <v>1032</v>
      </c>
      <c r="G40" s="413" t="s">
        <v>606</v>
      </c>
      <c r="H40" s="281">
        <f t="shared" si="12"/>
        <v>884004</v>
      </c>
      <c r="I40" s="282">
        <f>877954+6050</f>
        <v>884004</v>
      </c>
      <c r="J40" s="282">
        <v>680711</v>
      </c>
      <c r="K40" s="282">
        <v>41739</v>
      </c>
      <c r="L40" s="282"/>
      <c r="M40" s="281">
        <f t="shared" si="13"/>
        <v>0</v>
      </c>
      <c r="N40" s="282"/>
      <c r="O40" s="282"/>
      <c r="P40" s="282"/>
      <c r="Q40" s="282"/>
      <c r="R40" s="282"/>
      <c r="S40" s="283">
        <f t="shared" si="14"/>
        <v>884004</v>
      </c>
      <c r="T40" s="43">
        <f t="shared" si="9"/>
        <v>884004</v>
      </c>
      <c r="U40" s="557">
        <v>874954</v>
      </c>
      <c r="V40" s="558">
        <v>0</v>
      </c>
      <c r="W40" s="638">
        <v>874954</v>
      </c>
      <c r="X40" s="638">
        <f t="shared" si="2"/>
        <v>9050</v>
      </c>
    </row>
    <row r="41" spans="1:24" s="154" customFormat="1" ht="33" customHeight="1">
      <c r="A41" s="153"/>
      <c r="B41" s="153" t="s">
        <v>53</v>
      </c>
      <c r="C41" s="153"/>
      <c r="D41" s="412" t="s">
        <v>1014</v>
      </c>
      <c r="E41" s="412" t="s">
        <v>1015</v>
      </c>
      <c r="F41" s="412" t="s">
        <v>1032</v>
      </c>
      <c r="G41" s="413" t="s">
        <v>1018</v>
      </c>
      <c r="H41" s="281">
        <f t="shared" si="12"/>
        <v>3929101</v>
      </c>
      <c r="I41" s="282">
        <f>3926701+2400</f>
        <v>3929101</v>
      </c>
      <c r="J41" s="282">
        <f>2933739-35416</f>
        <v>2898323</v>
      </c>
      <c r="K41" s="282">
        <v>292471</v>
      </c>
      <c r="L41" s="282"/>
      <c r="M41" s="281">
        <f t="shared" si="13"/>
        <v>0</v>
      </c>
      <c r="N41" s="282"/>
      <c r="O41" s="282"/>
      <c r="P41" s="282"/>
      <c r="Q41" s="282"/>
      <c r="R41" s="282"/>
      <c r="S41" s="283">
        <f t="shared" si="14"/>
        <v>3929101</v>
      </c>
      <c r="T41" s="43">
        <f t="shared" si="9"/>
        <v>3929101</v>
      </c>
      <c r="U41" s="557">
        <v>5045740</v>
      </c>
      <c r="V41" s="558">
        <v>-1172247</v>
      </c>
      <c r="W41" s="638">
        <v>3873493</v>
      </c>
      <c r="X41" s="638">
        <f t="shared" si="2"/>
        <v>55608</v>
      </c>
    </row>
    <row r="42" spans="1:24" s="154" customFormat="1" ht="33.75" customHeight="1">
      <c r="A42" s="153"/>
      <c r="B42" s="153" t="s">
        <v>13</v>
      </c>
      <c r="C42" s="153"/>
      <c r="D42" s="412" t="s">
        <v>1016</v>
      </c>
      <c r="E42" s="412" t="s">
        <v>1017</v>
      </c>
      <c r="F42" s="412" t="s">
        <v>1032</v>
      </c>
      <c r="G42" s="413" t="s">
        <v>1019</v>
      </c>
      <c r="H42" s="281">
        <f t="shared" si="12"/>
        <v>516200</v>
      </c>
      <c r="I42" s="282">
        <v>516200</v>
      </c>
      <c r="J42" s="282"/>
      <c r="K42" s="282"/>
      <c r="L42" s="282"/>
      <c r="M42" s="281">
        <f t="shared" si="13"/>
        <v>0</v>
      </c>
      <c r="N42" s="282"/>
      <c r="O42" s="282"/>
      <c r="P42" s="282"/>
      <c r="Q42" s="282"/>
      <c r="R42" s="282"/>
      <c r="S42" s="283">
        <f t="shared" si="14"/>
        <v>516200</v>
      </c>
      <c r="T42" s="43">
        <f t="shared" si="9"/>
        <v>516200</v>
      </c>
      <c r="U42" s="557">
        <v>516200</v>
      </c>
      <c r="V42" s="558">
        <v>0</v>
      </c>
      <c r="W42" s="638">
        <v>516200</v>
      </c>
      <c r="X42" s="638">
        <f t="shared" si="2"/>
        <v>0</v>
      </c>
    </row>
    <row r="43" spans="1:24" s="154" customFormat="1" ht="33.75" customHeight="1">
      <c r="A43" s="153" t="s">
        <v>592</v>
      </c>
      <c r="B43" s="153"/>
      <c r="C43" s="153"/>
      <c r="D43" s="412" t="s">
        <v>593</v>
      </c>
      <c r="E43" s="412" t="s">
        <v>594</v>
      </c>
      <c r="F43" s="412" t="s">
        <v>1032</v>
      </c>
      <c r="G43" s="413" t="s">
        <v>595</v>
      </c>
      <c r="H43" s="281">
        <f t="shared" si="12"/>
        <v>1137247</v>
      </c>
      <c r="I43" s="282">
        <f>1172247-35000</f>
        <v>1137247</v>
      </c>
      <c r="J43" s="282">
        <f>960858-53800</f>
        <v>907058</v>
      </c>
      <c r="K43" s="282"/>
      <c r="L43" s="282"/>
      <c r="M43" s="281">
        <f t="shared" si="13"/>
        <v>25000</v>
      </c>
      <c r="N43" s="282">
        <v>25000</v>
      </c>
      <c r="O43" s="282"/>
      <c r="P43" s="282"/>
      <c r="Q43" s="282"/>
      <c r="R43" s="282">
        <v>25000</v>
      </c>
      <c r="S43" s="283">
        <f t="shared" si="14"/>
        <v>1162247</v>
      </c>
      <c r="T43" s="43"/>
      <c r="U43" s="557"/>
      <c r="V43" s="558"/>
      <c r="W43" s="638">
        <v>1172247</v>
      </c>
      <c r="X43" s="638">
        <f t="shared" si="2"/>
        <v>-10000</v>
      </c>
    </row>
    <row r="44" spans="1:24" s="154" customFormat="1" ht="41.25" customHeight="1">
      <c r="A44" s="153"/>
      <c r="B44" s="153"/>
      <c r="C44" s="153"/>
      <c r="D44" s="412" t="s">
        <v>1022</v>
      </c>
      <c r="E44" s="418">
        <v>5011</v>
      </c>
      <c r="F44" s="412" t="s">
        <v>889</v>
      </c>
      <c r="G44" s="413" t="s">
        <v>888</v>
      </c>
      <c r="H44" s="281">
        <f t="shared" si="12"/>
        <v>397780</v>
      </c>
      <c r="I44" s="282">
        <v>397780</v>
      </c>
      <c r="J44" s="281"/>
      <c r="K44" s="281"/>
      <c r="L44" s="282"/>
      <c r="M44" s="281">
        <f t="shared" si="13"/>
        <v>0</v>
      </c>
      <c r="N44" s="282"/>
      <c r="O44" s="282"/>
      <c r="P44" s="282"/>
      <c r="Q44" s="282"/>
      <c r="R44" s="282"/>
      <c r="S44" s="283">
        <f>H44+M44</f>
        <v>397780</v>
      </c>
      <c r="T44" s="43"/>
      <c r="U44" s="557">
        <v>317780</v>
      </c>
      <c r="V44" s="558">
        <v>0</v>
      </c>
      <c r="W44" s="638">
        <v>317780</v>
      </c>
      <c r="X44" s="638">
        <f t="shared" si="2"/>
        <v>80000</v>
      </c>
    </row>
    <row r="45" spans="1:24" s="154" customFormat="1" ht="41.25" customHeight="1" hidden="1">
      <c r="A45" s="153"/>
      <c r="B45" s="153"/>
      <c r="C45" s="153"/>
      <c r="D45" s="412" t="s">
        <v>695</v>
      </c>
      <c r="E45" s="418">
        <v>7321</v>
      </c>
      <c r="F45" s="412" t="s">
        <v>650</v>
      </c>
      <c r="G45" s="413" t="s">
        <v>696</v>
      </c>
      <c r="H45" s="281">
        <f t="shared" si="12"/>
        <v>0</v>
      </c>
      <c r="I45" s="282"/>
      <c r="J45" s="281"/>
      <c r="K45" s="281"/>
      <c r="L45" s="282"/>
      <c r="M45" s="281">
        <f t="shared" si="13"/>
        <v>0</v>
      </c>
      <c r="N45" s="282"/>
      <c r="O45" s="282"/>
      <c r="P45" s="282"/>
      <c r="Q45" s="282"/>
      <c r="R45" s="282"/>
      <c r="S45" s="283">
        <f>H45+M45</f>
        <v>0</v>
      </c>
      <c r="T45" s="43"/>
      <c r="U45" s="557"/>
      <c r="V45" s="558"/>
      <c r="W45" s="638"/>
      <c r="X45" s="638"/>
    </row>
    <row r="46" spans="1:24" s="154" customFormat="1" ht="57.75" customHeight="1">
      <c r="A46" s="153"/>
      <c r="B46" s="153"/>
      <c r="C46" s="153"/>
      <c r="D46" s="410" t="s">
        <v>424</v>
      </c>
      <c r="E46" s="410" t="s">
        <v>425</v>
      </c>
      <c r="F46" s="410" t="s">
        <v>663</v>
      </c>
      <c r="G46" s="411" t="s">
        <v>426</v>
      </c>
      <c r="H46" s="281">
        <f t="shared" si="12"/>
        <v>0</v>
      </c>
      <c r="I46" s="282"/>
      <c r="J46" s="282"/>
      <c r="K46" s="282"/>
      <c r="L46" s="282"/>
      <c r="M46" s="281">
        <f t="shared" si="13"/>
        <v>515000</v>
      </c>
      <c r="N46" s="282">
        <v>515000</v>
      </c>
      <c r="O46" s="282"/>
      <c r="P46" s="282"/>
      <c r="Q46" s="282"/>
      <c r="R46" s="282">
        <v>515000</v>
      </c>
      <c r="S46" s="283">
        <f>H46+M46</f>
        <v>515000</v>
      </c>
      <c r="T46" s="43">
        <f t="shared" si="9"/>
        <v>515000</v>
      </c>
      <c r="U46" s="557">
        <v>0</v>
      </c>
      <c r="V46" s="558">
        <v>500000</v>
      </c>
      <c r="W46" s="638">
        <v>500000</v>
      </c>
      <c r="X46" s="638">
        <f t="shared" si="2"/>
        <v>15000</v>
      </c>
    </row>
    <row r="47" spans="1:24" s="154" customFormat="1" ht="48.75" customHeight="1">
      <c r="A47" s="151">
        <v>1500000</v>
      </c>
      <c r="B47" s="153"/>
      <c r="C47" s="153"/>
      <c r="D47" s="278" t="s">
        <v>611</v>
      </c>
      <c r="E47" s="284"/>
      <c r="F47" s="284"/>
      <c r="G47" s="279" t="s">
        <v>612</v>
      </c>
      <c r="H47" s="280">
        <f>H48</f>
        <v>169187379</v>
      </c>
      <c r="I47" s="280">
        <f>I48</f>
        <v>169187379</v>
      </c>
      <c r="J47" s="280">
        <f>J48</f>
        <v>5515346.5</v>
      </c>
      <c r="K47" s="280">
        <f>K48</f>
        <v>79171</v>
      </c>
      <c r="L47" s="280"/>
      <c r="M47" s="280">
        <f>M48</f>
        <v>91639</v>
      </c>
      <c r="N47" s="280">
        <f>N48</f>
        <v>0</v>
      </c>
      <c r="O47" s="280">
        <f>O48</f>
        <v>91639</v>
      </c>
      <c r="P47" s="280">
        <f>P48</f>
        <v>75114</v>
      </c>
      <c r="Q47" s="280"/>
      <c r="R47" s="280">
        <f>R48</f>
        <v>0</v>
      </c>
      <c r="S47" s="280">
        <f t="shared" si="14"/>
        <v>169279018</v>
      </c>
      <c r="T47" s="43">
        <f t="shared" si="9"/>
        <v>169279018</v>
      </c>
      <c r="U47" s="557">
        <v>191233287</v>
      </c>
      <c r="V47" s="559">
        <v>76589</v>
      </c>
      <c r="W47" s="638">
        <v>191309876</v>
      </c>
      <c r="X47" s="638">
        <f t="shared" si="2"/>
        <v>-22030858</v>
      </c>
    </row>
    <row r="48" spans="1:24" s="152" customFormat="1" ht="51" customHeight="1">
      <c r="A48" s="151" t="s">
        <v>1035</v>
      </c>
      <c r="B48" s="151"/>
      <c r="C48" s="151"/>
      <c r="D48" s="278" t="s">
        <v>610</v>
      </c>
      <c r="E48" s="278"/>
      <c r="F48" s="278"/>
      <c r="G48" s="279" t="s">
        <v>612</v>
      </c>
      <c r="H48" s="280">
        <f>SUM(H49:H79)</f>
        <v>169187379</v>
      </c>
      <c r="I48" s="280">
        <f aca="true" t="shared" si="15" ref="I48:S48">SUM(I49:I79)</f>
        <v>169187379</v>
      </c>
      <c r="J48" s="280">
        <f t="shared" si="15"/>
        <v>5515346.5</v>
      </c>
      <c r="K48" s="280">
        <f t="shared" si="15"/>
        <v>79171</v>
      </c>
      <c r="L48" s="280">
        <f t="shared" si="15"/>
        <v>0</v>
      </c>
      <c r="M48" s="280">
        <f t="shared" si="15"/>
        <v>91639</v>
      </c>
      <c r="N48" s="280">
        <f t="shared" si="15"/>
        <v>0</v>
      </c>
      <c r="O48" s="280">
        <f t="shared" si="15"/>
        <v>91639</v>
      </c>
      <c r="P48" s="280">
        <f t="shared" si="15"/>
        <v>75114</v>
      </c>
      <c r="Q48" s="280">
        <f t="shared" si="15"/>
        <v>0</v>
      </c>
      <c r="R48" s="280">
        <f t="shared" si="15"/>
        <v>0</v>
      </c>
      <c r="S48" s="280">
        <f t="shared" si="15"/>
        <v>169279018</v>
      </c>
      <c r="T48" s="43">
        <f t="shared" si="9"/>
        <v>169279018</v>
      </c>
      <c r="U48" s="557">
        <v>191233287</v>
      </c>
      <c r="V48" s="559">
        <v>76589</v>
      </c>
      <c r="W48" s="638">
        <v>191309876</v>
      </c>
      <c r="X48" s="638">
        <f t="shared" si="2"/>
        <v>-22030858</v>
      </c>
    </row>
    <row r="49" spans="1:24" s="154" customFormat="1" ht="57.75" customHeight="1">
      <c r="A49" s="249" t="s">
        <v>463</v>
      </c>
      <c r="B49" s="250" t="s">
        <v>545</v>
      </c>
      <c r="C49" s="249">
        <v>1030</v>
      </c>
      <c r="D49" s="412" t="s">
        <v>546</v>
      </c>
      <c r="E49" s="412">
        <v>3011</v>
      </c>
      <c r="F49" s="412">
        <v>1030</v>
      </c>
      <c r="G49" s="413" t="s">
        <v>615</v>
      </c>
      <c r="H49" s="281">
        <f aca="true" t="shared" si="16" ref="H49:H56">L49+I49</f>
        <v>19813769.68</v>
      </c>
      <c r="I49" s="282">
        <v>19813769.68</v>
      </c>
      <c r="J49" s="282"/>
      <c r="K49" s="282"/>
      <c r="L49" s="282"/>
      <c r="M49" s="281">
        <f>O49+R49</f>
        <v>0</v>
      </c>
      <c r="N49" s="282"/>
      <c r="O49" s="282"/>
      <c r="P49" s="282"/>
      <c r="Q49" s="282"/>
      <c r="R49" s="282"/>
      <c r="S49" s="283">
        <f>H49+M49</f>
        <v>19813769.68</v>
      </c>
      <c r="T49" s="43">
        <f t="shared" si="9"/>
        <v>19813769.68</v>
      </c>
      <c r="U49" s="557">
        <v>13900000</v>
      </c>
      <c r="V49" s="558">
        <v>0</v>
      </c>
      <c r="W49" s="638">
        <v>13900000</v>
      </c>
      <c r="X49" s="638">
        <f t="shared" si="2"/>
        <v>5913769.68</v>
      </c>
    </row>
    <row r="50" spans="1:24" s="150" customFormat="1" ht="41.25" customHeight="1">
      <c r="A50" s="155" t="s">
        <v>938</v>
      </c>
      <c r="B50" s="155" t="s">
        <v>9</v>
      </c>
      <c r="C50" s="155" t="s">
        <v>941</v>
      </c>
      <c r="D50" s="422" t="s">
        <v>616</v>
      </c>
      <c r="E50" s="422" t="s">
        <v>617</v>
      </c>
      <c r="F50" s="422" t="s">
        <v>941</v>
      </c>
      <c r="G50" s="423" t="s">
        <v>937</v>
      </c>
      <c r="H50" s="281">
        <f t="shared" si="16"/>
        <v>25307530.32</v>
      </c>
      <c r="I50" s="468">
        <v>25307530.32</v>
      </c>
      <c r="J50" s="468"/>
      <c r="K50" s="468"/>
      <c r="L50" s="468"/>
      <c r="M50" s="281">
        <f aca="true" t="shared" si="17" ref="M50:M79">O50+R50</f>
        <v>0</v>
      </c>
      <c r="N50" s="470"/>
      <c r="O50" s="468"/>
      <c r="P50" s="468"/>
      <c r="Q50" s="468"/>
      <c r="R50" s="468"/>
      <c r="S50" s="283">
        <f aca="true" t="shared" si="18" ref="S50:S79">H50+M50</f>
        <v>25307530.32</v>
      </c>
      <c r="T50" s="43">
        <f t="shared" si="9"/>
        <v>25307530.32</v>
      </c>
      <c r="U50" s="557">
        <v>55379200</v>
      </c>
      <c r="V50" s="558">
        <v>0</v>
      </c>
      <c r="W50" s="638">
        <v>55379200</v>
      </c>
      <c r="X50" s="638">
        <f t="shared" si="2"/>
        <v>-30071669.68</v>
      </c>
    </row>
    <row r="51" spans="1:24" s="150" customFormat="1" ht="59.25" customHeight="1">
      <c r="A51" s="149" t="s">
        <v>464</v>
      </c>
      <c r="B51" s="248" t="s">
        <v>618</v>
      </c>
      <c r="C51" s="149">
        <v>1030</v>
      </c>
      <c r="D51" s="412" t="s">
        <v>643</v>
      </c>
      <c r="E51" s="412">
        <v>3021</v>
      </c>
      <c r="F51" s="412">
        <v>1030</v>
      </c>
      <c r="G51" s="413" t="s">
        <v>642</v>
      </c>
      <c r="H51" s="281">
        <f t="shared" si="16"/>
        <v>710500</v>
      </c>
      <c r="I51" s="282">
        <v>710500</v>
      </c>
      <c r="J51" s="282">
        <v>0</v>
      </c>
      <c r="K51" s="282">
        <v>0</v>
      </c>
      <c r="L51" s="282">
        <v>0</v>
      </c>
      <c r="M51" s="281">
        <f t="shared" si="17"/>
        <v>0</v>
      </c>
      <c r="N51" s="282"/>
      <c r="O51" s="282"/>
      <c r="P51" s="282">
        <v>0</v>
      </c>
      <c r="Q51" s="282">
        <v>0</v>
      </c>
      <c r="R51" s="282">
        <v>0</v>
      </c>
      <c r="S51" s="283">
        <f t="shared" si="18"/>
        <v>710500</v>
      </c>
      <c r="T51" s="43">
        <f t="shared" si="9"/>
        <v>710500</v>
      </c>
      <c r="U51" s="557">
        <v>710500</v>
      </c>
      <c r="V51" s="558">
        <v>0</v>
      </c>
      <c r="W51" s="638">
        <v>710500</v>
      </c>
      <c r="X51" s="638">
        <f t="shared" si="2"/>
        <v>0</v>
      </c>
    </row>
    <row r="52" spans="1:24" s="150" customFormat="1" ht="56.25" customHeight="1">
      <c r="A52" s="149" t="s">
        <v>942</v>
      </c>
      <c r="B52" s="149" t="s">
        <v>940</v>
      </c>
      <c r="C52" s="149" t="s">
        <v>941</v>
      </c>
      <c r="D52" s="412" t="s">
        <v>644</v>
      </c>
      <c r="E52" s="424" t="s">
        <v>1002</v>
      </c>
      <c r="F52" s="424" t="s">
        <v>941</v>
      </c>
      <c r="G52" s="425" t="s">
        <v>939</v>
      </c>
      <c r="H52" s="281">
        <f t="shared" si="16"/>
        <v>3467200</v>
      </c>
      <c r="I52" s="469">
        <v>3467200</v>
      </c>
      <c r="J52" s="469">
        <v>0</v>
      </c>
      <c r="K52" s="469">
        <v>0</v>
      </c>
      <c r="L52" s="469">
        <v>0</v>
      </c>
      <c r="M52" s="281">
        <f t="shared" si="17"/>
        <v>0</v>
      </c>
      <c r="N52" s="471"/>
      <c r="O52" s="469">
        <v>0</v>
      </c>
      <c r="P52" s="469">
        <v>0</v>
      </c>
      <c r="Q52" s="469">
        <v>0</v>
      </c>
      <c r="R52" s="469">
        <v>0</v>
      </c>
      <c r="S52" s="283">
        <f t="shared" si="18"/>
        <v>3467200</v>
      </c>
      <c r="T52" s="43">
        <f t="shared" si="9"/>
        <v>3467200</v>
      </c>
      <c r="U52" s="557">
        <v>3467200</v>
      </c>
      <c r="V52" s="558">
        <v>0</v>
      </c>
      <c r="W52" s="638">
        <v>3467200</v>
      </c>
      <c r="X52" s="638">
        <f t="shared" si="2"/>
        <v>0</v>
      </c>
    </row>
    <row r="53" spans="1:24" s="25" customFormat="1" ht="45" customHeight="1">
      <c r="A53" s="149" t="s">
        <v>990</v>
      </c>
      <c r="B53" s="251" t="s">
        <v>645</v>
      </c>
      <c r="C53" s="149" t="s">
        <v>14</v>
      </c>
      <c r="D53" s="412" t="s">
        <v>40</v>
      </c>
      <c r="E53" s="412" t="s">
        <v>991</v>
      </c>
      <c r="F53" s="412" t="s">
        <v>14</v>
      </c>
      <c r="G53" s="413" t="s">
        <v>39</v>
      </c>
      <c r="H53" s="281">
        <f t="shared" si="16"/>
        <v>106729</v>
      </c>
      <c r="I53" s="282">
        <v>106729</v>
      </c>
      <c r="J53" s="282"/>
      <c r="K53" s="282"/>
      <c r="L53" s="282"/>
      <c r="M53" s="281">
        <f t="shared" si="17"/>
        <v>0</v>
      </c>
      <c r="N53" s="282"/>
      <c r="O53" s="282"/>
      <c r="P53" s="282"/>
      <c r="Q53" s="282"/>
      <c r="R53" s="282"/>
      <c r="S53" s="283">
        <f t="shared" si="18"/>
        <v>106729</v>
      </c>
      <c r="T53" s="43">
        <f t="shared" si="9"/>
        <v>106729</v>
      </c>
      <c r="U53" s="557">
        <v>106314</v>
      </c>
      <c r="V53" s="558">
        <v>0</v>
      </c>
      <c r="W53" s="638">
        <v>106314</v>
      </c>
      <c r="X53" s="638">
        <f t="shared" si="2"/>
        <v>415</v>
      </c>
    </row>
    <row r="54" spans="1:24" s="25" customFormat="1" ht="41.25" customHeight="1">
      <c r="A54" s="149" t="s">
        <v>204</v>
      </c>
      <c r="B54" s="149" t="s">
        <v>796</v>
      </c>
      <c r="C54" s="149" t="s">
        <v>912</v>
      </c>
      <c r="D54" s="412" t="s">
        <v>42</v>
      </c>
      <c r="E54" s="412" t="s">
        <v>41</v>
      </c>
      <c r="F54" s="412" t="s">
        <v>912</v>
      </c>
      <c r="G54" s="413" t="s">
        <v>797</v>
      </c>
      <c r="H54" s="281">
        <f t="shared" si="16"/>
        <v>380360</v>
      </c>
      <c r="I54" s="282">
        <v>380360</v>
      </c>
      <c r="J54" s="282"/>
      <c r="K54" s="282"/>
      <c r="L54" s="282"/>
      <c r="M54" s="281">
        <f t="shared" si="17"/>
        <v>0</v>
      </c>
      <c r="N54" s="282"/>
      <c r="O54" s="282"/>
      <c r="P54" s="282"/>
      <c r="Q54" s="282"/>
      <c r="R54" s="282"/>
      <c r="S54" s="283">
        <f t="shared" si="18"/>
        <v>380360</v>
      </c>
      <c r="T54" s="43">
        <f t="shared" si="9"/>
        <v>380360</v>
      </c>
      <c r="U54" s="557">
        <v>275360</v>
      </c>
      <c r="V54" s="558">
        <v>0</v>
      </c>
      <c r="W54" s="638">
        <v>275360</v>
      </c>
      <c r="X54" s="638">
        <f t="shared" si="2"/>
        <v>105000</v>
      </c>
    </row>
    <row r="55" spans="1:24" s="25" customFormat="1" ht="55.5" customHeight="1">
      <c r="A55" s="149"/>
      <c r="B55" s="149"/>
      <c r="C55" s="149"/>
      <c r="D55" s="412" t="s">
        <v>119</v>
      </c>
      <c r="E55" s="412" t="s">
        <v>120</v>
      </c>
      <c r="F55" s="412" t="s">
        <v>912</v>
      </c>
      <c r="G55" s="413" t="s">
        <v>121</v>
      </c>
      <c r="H55" s="281">
        <f t="shared" si="16"/>
        <v>1000000</v>
      </c>
      <c r="I55" s="282">
        <v>1000000</v>
      </c>
      <c r="J55" s="282"/>
      <c r="K55" s="282"/>
      <c r="L55" s="282"/>
      <c r="M55" s="281">
        <f t="shared" si="17"/>
        <v>0</v>
      </c>
      <c r="N55" s="282"/>
      <c r="O55" s="282"/>
      <c r="P55" s="282"/>
      <c r="Q55" s="282"/>
      <c r="R55" s="282"/>
      <c r="S55" s="283">
        <f t="shared" si="18"/>
        <v>1000000</v>
      </c>
      <c r="T55" s="43"/>
      <c r="U55" s="557"/>
      <c r="V55" s="558"/>
      <c r="W55" s="638"/>
      <c r="X55" s="638"/>
    </row>
    <row r="56" spans="1:24" s="25" customFormat="1" ht="41.25" customHeight="1">
      <c r="A56" s="149"/>
      <c r="B56" s="149"/>
      <c r="C56" s="149"/>
      <c r="D56" s="412" t="s">
        <v>652</v>
      </c>
      <c r="E56" s="412" t="s">
        <v>43</v>
      </c>
      <c r="F56" s="412" t="s">
        <v>912</v>
      </c>
      <c r="G56" s="426" t="s">
        <v>653</v>
      </c>
      <c r="H56" s="281">
        <f t="shared" si="16"/>
        <v>29400</v>
      </c>
      <c r="I56" s="282">
        <v>29400</v>
      </c>
      <c r="J56" s="282"/>
      <c r="K56" s="282"/>
      <c r="L56" s="282"/>
      <c r="M56" s="281">
        <f t="shared" si="17"/>
        <v>0</v>
      </c>
      <c r="N56" s="282"/>
      <c r="O56" s="282"/>
      <c r="P56" s="282"/>
      <c r="Q56" s="282"/>
      <c r="R56" s="282"/>
      <c r="S56" s="283">
        <f t="shared" si="18"/>
        <v>29400</v>
      </c>
      <c r="T56" s="43">
        <f t="shared" si="9"/>
        <v>29400</v>
      </c>
      <c r="U56" s="557">
        <v>19940</v>
      </c>
      <c r="V56" s="558">
        <v>9460</v>
      </c>
      <c r="W56" s="638">
        <v>29400</v>
      </c>
      <c r="X56" s="638">
        <f t="shared" si="2"/>
        <v>0</v>
      </c>
    </row>
    <row r="57" spans="1:24" s="150" customFormat="1" ht="27.75" customHeight="1">
      <c r="A57" s="149" t="s">
        <v>231</v>
      </c>
      <c r="B57" s="149">
        <v>3041</v>
      </c>
      <c r="C57" s="149">
        <v>1040</v>
      </c>
      <c r="D57" s="412" t="s">
        <v>44</v>
      </c>
      <c r="E57" s="412">
        <v>3041</v>
      </c>
      <c r="F57" s="412">
        <v>1040</v>
      </c>
      <c r="G57" s="413" t="s">
        <v>230</v>
      </c>
      <c r="H57" s="281">
        <f aca="true" t="shared" si="19" ref="H57:H72">L57+I57</f>
        <v>653300</v>
      </c>
      <c r="I57" s="282">
        <v>653300</v>
      </c>
      <c r="J57" s="282"/>
      <c r="K57" s="282">
        <v>0</v>
      </c>
      <c r="L57" s="282"/>
      <c r="M57" s="281">
        <f t="shared" si="17"/>
        <v>0</v>
      </c>
      <c r="N57" s="282"/>
      <c r="O57" s="282">
        <v>0</v>
      </c>
      <c r="P57" s="282">
        <v>0</v>
      </c>
      <c r="Q57" s="282">
        <v>0</v>
      </c>
      <c r="R57" s="282">
        <v>0</v>
      </c>
      <c r="S57" s="283">
        <f t="shared" si="18"/>
        <v>653300</v>
      </c>
      <c r="T57" s="43">
        <f t="shared" si="9"/>
        <v>653300</v>
      </c>
      <c r="U57" s="557">
        <v>653300</v>
      </c>
      <c r="V57" s="558">
        <v>0</v>
      </c>
      <c r="W57" s="638">
        <v>653300</v>
      </c>
      <c r="X57" s="638">
        <f t="shared" si="2"/>
        <v>0</v>
      </c>
    </row>
    <row r="58" spans="1:24" s="150" customFormat="1" ht="28.5" customHeight="1">
      <c r="A58" s="149" t="s">
        <v>232</v>
      </c>
      <c r="B58" s="149">
        <v>3042</v>
      </c>
      <c r="C58" s="149">
        <v>1040</v>
      </c>
      <c r="D58" s="412" t="s">
        <v>45</v>
      </c>
      <c r="E58" s="412">
        <v>3042</v>
      </c>
      <c r="F58" s="412">
        <v>1040</v>
      </c>
      <c r="G58" s="427" t="s">
        <v>182</v>
      </c>
      <c r="H58" s="281">
        <f t="shared" si="19"/>
        <v>164600</v>
      </c>
      <c r="I58" s="282">
        <v>164600</v>
      </c>
      <c r="J58" s="282"/>
      <c r="K58" s="282">
        <v>0</v>
      </c>
      <c r="L58" s="282">
        <v>0</v>
      </c>
      <c r="M58" s="281">
        <f t="shared" si="17"/>
        <v>0</v>
      </c>
      <c r="N58" s="282"/>
      <c r="O58" s="282">
        <v>0</v>
      </c>
      <c r="P58" s="282">
        <v>0</v>
      </c>
      <c r="Q58" s="282">
        <v>0</v>
      </c>
      <c r="R58" s="282">
        <v>0</v>
      </c>
      <c r="S58" s="283">
        <f t="shared" si="18"/>
        <v>164600</v>
      </c>
      <c r="T58" s="43">
        <f t="shared" si="9"/>
        <v>164600</v>
      </c>
      <c r="U58" s="557">
        <v>164600</v>
      </c>
      <c r="V58" s="558">
        <v>0</v>
      </c>
      <c r="W58" s="638">
        <v>164600</v>
      </c>
      <c r="X58" s="638">
        <f t="shared" si="2"/>
        <v>0</v>
      </c>
    </row>
    <row r="59" spans="1:24" s="150" customFormat="1" ht="30" customHeight="1">
      <c r="A59" s="149" t="s">
        <v>234</v>
      </c>
      <c r="B59" s="149">
        <v>3043</v>
      </c>
      <c r="C59" s="149">
        <v>1040</v>
      </c>
      <c r="D59" s="412" t="s">
        <v>46</v>
      </c>
      <c r="E59" s="412">
        <v>3043</v>
      </c>
      <c r="F59" s="412">
        <v>1040</v>
      </c>
      <c r="G59" s="413" t="s">
        <v>233</v>
      </c>
      <c r="H59" s="281">
        <f t="shared" si="19"/>
        <v>36485100</v>
      </c>
      <c r="I59" s="282">
        <v>36485100</v>
      </c>
      <c r="J59" s="282"/>
      <c r="K59" s="282">
        <v>0</v>
      </c>
      <c r="L59" s="282">
        <v>0</v>
      </c>
      <c r="M59" s="281">
        <f t="shared" si="17"/>
        <v>0</v>
      </c>
      <c r="N59" s="282"/>
      <c r="O59" s="282">
        <v>0</v>
      </c>
      <c r="P59" s="282">
        <v>0</v>
      </c>
      <c r="Q59" s="282">
        <v>0</v>
      </c>
      <c r="R59" s="282">
        <v>0</v>
      </c>
      <c r="S59" s="283">
        <f t="shared" si="18"/>
        <v>36485100</v>
      </c>
      <c r="T59" s="43">
        <f t="shared" si="9"/>
        <v>36485100</v>
      </c>
      <c r="U59" s="557">
        <v>44791000</v>
      </c>
      <c r="V59" s="558">
        <v>-49500</v>
      </c>
      <c r="W59" s="638">
        <v>44741500</v>
      </c>
      <c r="X59" s="638">
        <f t="shared" si="2"/>
        <v>-8256400</v>
      </c>
    </row>
    <row r="60" spans="1:24" s="150" customFormat="1" ht="39.75" customHeight="1">
      <c r="A60" s="149" t="s">
        <v>236</v>
      </c>
      <c r="B60" s="149">
        <v>3044</v>
      </c>
      <c r="C60" s="149">
        <v>1040</v>
      </c>
      <c r="D60" s="412" t="s">
        <v>47</v>
      </c>
      <c r="E60" s="412">
        <v>3044</v>
      </c>
      <c r="F60" s="412">
        <v>1040</v>
      </c>
      <c r="G60" s="413" t="s">
        <v>235</v>
      </c>
      <c r="H60" s="281">
        <f t="shared" si="19"/>
        <v>5332200</v>
      </c>
      <c r="I60" s="282">
        <v>5332200</v>
      </c>
      <c r="J60" s="282"/>
      <c r="K60" s="282">
        <v>0</v>
      </c>
      <c r="L60" s="282">
        <v>0</v>
      </c>
      <c r="M60" s="281">
        <f t="shared" si="17"/>
        <v>0</v>
      </c>
      <c r="N60" s="282"/>
      <c r="O60" s="282">
        <v>0</v>
      </c>
      <c r="P60" s="282">
        <v>0</v>
      </c>
      <c r="Q60" s="282">
        <v>0</v>
      </c>
      <c r="R60" s="282">
        <v>0</v>
      </c>
      <c r="S60" s="283">
        <f t="shared" si="18"/>
        <v>5332200</v>
      </c>
      <c r="T60" s="43">
        <f t="shared" si="9"/>
        <v>5332200</v>
      </c>
      <c r="U60" s="557">
        <v>5332200</v>
      </c>
      <c r="V60" s="558">
        <v>0</v>
      </c>
      <c r="W60" s="638">
        <v>5332200</v>
      </c>
      <c r="X60" s="638">
        <f t="shared" si="2"/>
        <v>0</v>
      </c>
    </row>
    <row r="61" spans="1:24" s="150" customFormat="1" ht="33" customHeight="1">
      <c r="A61" s="149" t="s">
        <v>238</v>
      </c>
      <c r="B61" s="149">
        <v>3045</v>
      </c>
      <c r="C61" s="149">
        <v>1040</v>
      </c>
      <c r="D61" s="412" t="s">
        <v>48</v>
      </c>
      <c r="E61" s="412">
        <v>3045</v>
      </c>
      <c r="F61" s="412">
        <v>1040</v>
      </c>
      <c r="G61" s="413" t="s">
        <v>237</v>
      </c>
      <c r="H61" s="281">
        <f t="shared" si="19"/>
        <v>13394100</v>
      </c>
      <c r="I61" s="282">
        <v>13394100</v>
      </c>
      <c r="J61" s="282"/>
      <c r="K61" s="282">
        <v>0</v>
      </c>
      <c r="L61" s="282">
        <v>0</v>
      </c>
      <c r="M61" s="281">
        <f t="shared" si="17"/>
        <v>0</v>
      </c>
      <c r="N61" s="282"/>
      <c r="O61" s="282">
        <v>0</v>
      </c>
      <c r="P61" s="282">
        <v>0</v>
      </c>
      <c r="Q61" s="282">
        <v>0</v>
      </c>
      <c r="R61" s="282">
        <v>0</v>
      </c>
      <c r="S61" s="283">
        <f t="shared" si="18"/>
        <v>13394100</v>
      </c>
      <c r="T61" s="43">
        <f t="shared" si="9"/>
        <v>13394100</v>
      </c>
      <c r="U61" s="557">
        <v>13394100</v>
      </c>
      <c r="V61" s="558">
        <v>0</v>
      </c>
      <c r="W61" s="638">
        <v>13394100</v>
      </c>
      <c r="X61" s="638">
        <f t="shared" si="2"/>
        <v>0</v>
      </c>
    </row>
    <row r="62" spans="1:24" s="150" customFormat="1" ht="32.25" customHeight="1">
      <c r="A62" s="149" t="s">
        <v>240</v>
      </c>
      <c r="B62" s="149">
        <v>3046</v>
      </c>
      <c r="C62" s="149">
        <v>1040</v>
      </c>
      <c r="D62" s="412" t="s">
        <v>49</v>
      </c>
      <c r="E62" s="412">
        <v>3046</v>
      </c>
      <c r="F62" s="412">
        <v>1040</v>
      </c>
      <c r="G62" s="413" t="s">
        <v>239</v>
      </c>
      <c r="H62" s="281">
        <f t="shared" si="19"/>
        <v>345500</v>
      </c>
      <c r="I62" s="282">
        <v>345500</v>
      </c>
      <c r="J62" s="282"/>
      <c r="K62" s="282">
        <v>0</v>
      </c>
      <c r="L62" s="282">
        <v>0</v>
      </c>
      <c r="M62" s="281">
        <f t="shared" si="17"/>
        <v>0</v>
      </c>
      <c r="N62" s="282"/>
      <c r="O62" s="282">
        <v>0</v>
      </c>
      <c r="P62" s="282">
        <v>0</v>
      </c>
      <c r="Q62" s="282">
        <v>0</v>
      </c>
      <c r="R62" s="282">
        <v>0</v>
      </c>
      <c r="S62" s="283">
        <f t="shared" si="18"/>
        <v>345500</v>
      </c>
      <c r="T62" s="43">
        <f t="shared" si="9"/>
        <v>345500</v>
      </c>
      <c r="U62" s="557">
        <v>345500</v>
      </c>
      <c r="V62" s="558">
        <v>0</v>
      </c>
      <c r="W62" s="638">
        <v>345500</v>
      </c>
      <c r="X62" s="638">
        <f t="shared" si="2"/>
        <v>0</v>
      </c>
    </row>
    <row r="63" spans="1:24" s="150" customFormat="1" ht="42" customHeight="1">
      <c r="A63" s="149" t="s">
        <v>302</v>
      </c>
      <c r="B63" s="149">
        <v>3048</v>
      </c>
      <c r="C63" s="149">
        <v>1040</v>
      </c>
      <c r="D63" s="412" t="s">
        <v>50</v>
      </c>
      <c r="E63" s="412" t="s">
        <v>825</v>
      </c>
      <c r="F63" s="412">
        <v>1040</v>
      </c>
      <c r="G63" s="413" t="s">
        <v>301</v>
      </c>
      <c r="H63" s="281">
        <f t="shared" si="19"/>
        <v>11840500</v>
      </c>
      <c r="I63" s="282">
        <v>11840500</v>
      </c>
      <c r="J63" s="282"/>
      <c r="K63" s="282">
        <v>0</v>
      </c>
      <c r="L63" s="282">
        <v>0</v>
      </c>
      <c r="M63" s="281">
        <f t="shared" si="17"/>
        <v>0</v>
      </c>
      <c r="N63" s="282"/>
      <c r="O63" s="282">
        <v>0</v>
      </c>
      <c r="P63" s="282">
        <v>0</v>
      </c>
      <c r="Q63" s="282">
        <v>0</v>
      </c>
      <c r="R63" s="282">
        <v>0</v>
      </c>
      <c r="S63" s="283">
        <f t="shared" si="18"/>
        <v>11840500</v>
      </c>
      <c r="T63" s="43">
        <f t="shared" si="9"/>
        <v>11840500</v>
      </c>
      <c r="U63" s="557">
        <v>11840500</v>
      </c>
      <c r="V63" s="558">
        <v>0</v>
      </c>
      <c r="W63" s="638">
        <v>11840500</v>
      </c>
      <c r="X63" s="638">
        <f t="shared" si="2"/>
        <v>0</v>
      </c>
    </row>
    <row r="64" spans="1:24" s="150" customFormat="1" ht="42" customHeight="1">
      <c r="A64" s="149"/>
      <c r="B64" s="149"/>
      <c r="C64" s="149"/>
      <c r="D64" s="412" t="s">
        <v>623</v>
      </c>
      <c r="E64" s="412" t="s">
        <v>624</v>
      </c>
      <c r="F64" s="412" t="s">
        <v>887</v>
      </c>
      <c r="G64" s="413" t="s">
        <v>625</v>
      </c>
      <c r="H64" s="281">
        <f t="shared" si="19"/>
        <v>49500</v>
      </c>
      <c r="I64" s="282">
        <v>49500</v>
      </c>
      <c r="J64" s="282"/>
      <c r="K64" s="282"/>
      <c r="L64" s="282"/>
      <c r="M64" s="281">
        <f t="shared" si="17"/>
        <v>0</v>
      </c>
      <c r="N64" s="282"/>
      <c r="O64" s="282"/>
      <c r="P64" s="282"/>
      <c r="Q64" s="282"/>
      <c r="R64" s="282"/>
      <c r="S64" s="283">
        <f t="shared" si="18"/>
        <v>49500</v>
      </c>
      <c r="T64" s="43"/>
      <c r="U64" s="557">
        <v>0</v>
      </c>
      <c r="V64" s="558">
        <v>49500</v>
      </c>
      <c r="W64" s="638">
        <v>49500</v>
      </c>
      <c r="X64" s="638">
        <f t="shared" si="2"/>
        <v>0</v>
      </c>
    </row>
    <row r="65" spans="1:24" s="150" customFormat="1" ht="42" customHeight="1">
      <c r="A65" s="149"/>
      <c r="B65" s="149"/>
      <c r="C65" s="149"/>
      <c r="D65" s="412" t="s">
        <v>559</v>
      </c>
      <c r="E65" s="412" t="s">
        <v>560</v>
      </c>
      <c r="F65" s="412" t="s">
        <v>912</v>
      </c>
      <c r="G65" s="413" t="s">
        <v>291</v>
      </c>
      <c r="H65" s="281">
        <f t="shared" si="19"/>
        <v>157700</v>
      </c>
      <c r="I65" s="282">
        <v>157700</v>
      </c>
      <c r="J65" s="282"/>
      <c r="K65" s="282"/>
      <c r="L65" s="282"/>
      <c r="M65" s="281">
        <f t="shared" si="17"/>
        <v>0</v>
      </c>
      <c r="N65" s="282"/>
      <c r="O65" s="282"/>
      <c r="P65" s="282"/>
      <c r="Q65" s="282"/>
      <c r="R65" s="282"/>
      <c r="S65" s="283">
        <f t="shared" si="18"/>
        <v>157700</v>
      </c>
      <c r="T65" s="43">
        <f t="shared" si="9"/>
        <v>157700</v>
      </c>
      <c r="U65" s="557">
        <v>157700</v>
      </c>
      <c r="V65" s="558">
        <v>0</v>
      </c>
      <c r="W65" s="638">
        <v>157700</v>
      </c>
      <c r="X65" s="638">
        <f t="shared" si="2"/>
        <v>0</v>
      </c>
    </row>
    <row r="66" spans="1:24" s="150" customFormat="1" ht="45.75" customHeight="1">
      <c r="A66" s="153"/>
      <c r="B66" s="153"/>
      <c r="C66" s="153"/>
      <c r="D66" s="412" t="s">
        <v>293</v>
      </c>
      <c r="E66" s="412" t="s">
        <v>292</v>
      </c>
      <c r="F66" s="412" t="s">
        <v>460</v>
      </c>
      <c r="G66" s="413" t="s">
        <v>527</v>
      </c>
      <c r="H66" s="281">
        <f t="shared" si="19"/>
        <v>23375500</v>
      </c>
      <c r="I66" s="282">
        <v>23375500</v>
      </c>
      <c r="J66" s="282"/>
      <c r="K66" s="282"/>
      <c r="L66" s="282"/>
      <c r="M66" s="281">
        <f t="shared" si="17"/>
        <v>0</v>
      </c>
      <c r="N66" s="282"/>
      <c r="O66" s="282"/>
      <c r="P66" s="282"/>
      <c r="Q66" s="282"/>
      <c r="R66" s="282"/>
      <c r="S66" s="283">
        <f t="shared" si="18"/>
        <v>23375500</v>
      </c>
      <c r="T66" s="43">
        <f t="shared" si="9"/>
        <v>23375500</v>
      </c>
      <c r="U66" s="557">
        <v>23467300</v>
      </c>
      <c r="V66" s="558">
        <v>-91800</v>
      </c>
      <c r="W66" s="638">
        <v>23375500</v>
      </c>
      <c r="X66" s="638">
        <f t="shared" si="2"/>
        <v>0</v>
      </c>
    </row>
    <row r="67" spans="1:24" s="150" customFormat="1" ht="54" customHeight="1">
      <c r="A67" s="153"/>
      <c r="B67" s="153"/>
      <c r="C67" s="153"/>
      <c r="D67" s="412" t="s">
        <v>276</v>
      </c>
      <c r="E67" s="412" t="s">
        <v>277</v>
      </c>
      <c r="F67" s="412" t="s">
        <v>460</v>
      </c>
      <c r="G67" s="413" t="s">
        <v>646</v>
      </c>
      <c r="H67" s="281">
        <f t="shared" si="19"/>
        <v>4326500</v>
      </c>
      <c r="I67" s="282">
        <v>4326500</v>
      </c>
      <c r="J67" s="282"/>
      <c r="K67" s="282"/>
      <c r="L67" s="282"/>
      <c r="M67" s="281">
        <f t="shared" si="17"/>
        <v>0</v>
      </c>
      <c r="N67" s="282"/>
      <c r="O67" s="282"/>
      <c r="P67" s="282"/>
      <c r="Q67" s="282"/>
      <c r="R67" s="282"/>
      <c r="S67" s="283">
        <f t="shared" si="18"/>
        <v>4326500</v>
      </c>
      <c r="T67" s="43"/>
      <c r="U67" s="557">
        <v>4326500</v>
      </c>
      <c r="V67" s="558">
        <v>0</v>
      </c>
      <c r="W67" s="638">
        <v>4326500</v>
      </c>
      <c r="X67" s="638">
        <f t="shared" si="2"/>
        <v>0</v>
      </c>
    </row>
    <row r="68" spans="1:24" s="150" customFormat="1" ht="51.75" customHeight="1">
      <c r="A68" s="153"/>
      <c r="B68" s="153"/>
      <c r="C68" s="153"/>
      <c r="D68" s="412" t="s">
        <v>294</v>
      </c>
      <c r="E68" s="412" t="s">
        <v>295</v>
      </c>
      <c r="F68" s="412" t="s">
        <v>460</v>
      </c>
      <c r="G68" s="413" t="s">
        <v>585</v>
      </c>
      <c r="H68" s="281">
        <f t="shared" si="19"/>
        <v>1842000</v>
      </c>
      <c r="I68" s="282">
        <v>1842000</v>
      </c>
      <c r="J68" s="282"/>
      <c r="K68" s="282"/>
      <c r="L68" s="282"/>
      <c r="M68" s="281">
        <f t="shared" si="17"/>
        <v>0</v>
      </c>
      <c r="N68" s="282"/>
      <c r="O68" s="282"/>
      <c r="P68" s="282"/>
      <c r="Q68" s="282"/>
      <c r="R68" s="282"/>
      <c r="S68" s="283">
        <f t="shared" si="18"/>
        <v>1842000</v>
      </c>
      <c r="T68" s="43">
        <f t="shared" si="9"/>
        <v>1842000</v>
      </c>
      <c r="U68" s="557">
        <v>1842000</v>
      </c>
      <c r="V68" s="558">
        <v>0</v>
      </c>
      <c r="W68" s="638">
        <v>1842000</v>
      </c>
      <c r="X68" s="638">
        <f t="shared" si="2"/>
        <v>0</v>
      </c>
    </row>
    <row r="69" spans="1:24" s="150" customFormat="1" ht="51.75" customHeight="1">
      <c r="A69" s="153"/>
      <c r="B69" s="153"/>
      <c r="C69" s="153"/>
      <c r="D69" s="412" t="s">
        <v>508</v>
      </c>
      <c r="E69" s="412" t="s">
        <v>509</v>
      </c>
      <c r="F69" s="412" t="s">
        <v>460</v>
      </c>
      <c r="G69" s="413" t="s">
        <v>510</v>
      </c>
      <c r="H69" s="281">
        <f t="shared" si="19"/>
        <v>319000</v>
      </c>
      <c r="I69" s="282">
        <v>319000</v>
      </c>
      <c r="J69" s="282"/>
      <c r="K69" s="282"/>
      <c r="L69" s="282"/>
      <c r="M69" s="281">
        <f t="shared" si="17"/>
        <v>0</v>
      </c>
      <c r="N69" s="282"/>
      <c r="O69" s="282"/>
      <c r="P69" s="282"/>
      <c r="Q69" s="282"/>
      <c r="R69" s="282"/>
      <c r="S69" s="283">
        <f t="shared" si="18"/>
        <v>319000</v>
      </c>
      <c r="T69" s="43">
        <f t="shared" si="9"/>
        <v>319000</v>
      </c>
      <c r="U69" s="557">
        <v>108600</v>
      </c>
      <c r="V69" s="558">
        <v>0</v>
      </c>
      <c r="W69" s="638">
        <v>108600</v>
      </c>
      <c r="X69" s="638">
        <f t="shared" si="2"/>
        <v>210400</v>
      </c>
    </row>
    <row r="70" spans="1:24" s="150" customFormat="1" ht="78.75" customHeight="1">
      <c r="A70" s="153"/>
      <c r="B70" s="153"/>
      <c r="C70" s="153"/>
      <c r="D70" s="412" t="s">
        <v>647</v>
      </c>
      <c r="E70" s="412" t="s">
        <v>648</v>
      </c>
      <c r="F70" s="412" t="s">
        <v>460</v>
      </c>
      <c r="G70" s="413" t="s">
        <v>649</v>
      </c>
      <c r="H70" s="281">
        <f t="shared" si="19"/>
        <v>40100</v>
      </c>
      <c r="I70" s="282">
        <v>40100</v>
      </c>
      <c r="J70" s="282"/>
      <c r="K70" s="282"/>
      <c r="L70" s="282"/>
      <c r="M70" s="281">
        <f t="shared" si="17"/>
        <v>0</v>
      </c>
      <c r="N70" s="282"/>
      <c r="O70" s="282"/>
      <c r="P70" s="282"/>
      <c r="Q70" s="282"/>
      <c r="R70" s="282"/>
      <c r="S70" s="283">
        <f t="shared" si="18"/>
        <v>40100</v>
      </c>
      <c r="T70" s="43">
        <f t="shared" si="9"/>
        <v>40100</v>
      </c>
      <c r="U70" s="557">
        <v>40100</v>
      </c>
      <c r="V70" s="558">
        <v>0</v>
      </c>
      <c r="W70" s="638">
        <v>40100</v>
      </c>
      <c r="X70" s="638">
        <f t="shared" si="2"/>
        <v>0</v>
      </c>
    </row>
    <row r="71" spans="1:24" s="150" customFormat="1" ht="186.75" customHeight="1">
      <c r="A71" s="153"/>
      <c r="B71" s="153"/>
      <c r="C71" s="153"/>
      <c r="D71" s="412" t="s">
        <v>626</v>
      </c>
      <c r="E71" s="412" t="s">
        <v>627</v>
      </c>
      <c r="F71" s="412" t="s">
        <v>887</v>
      </c>
      <c r="G71" s="413" t="s">
        <v>135</v>
      </c>
      <c r="H71" s="281">
        <f t="shared" si="19"/>
        <v>91800</v>
      </c>
      <c r="I71" s="282">
        <v>91800</v>
      </c>
      <c r="J71" s="282"/>
      <c r="K71" s="282"/>
      <c r="L71" s="282"/>
      <c r="M71" s="281">
        <f t="shared" si="17"/>
        <v>0</v>
      </c>
      <c r="N71" s="282"/>
      <c r="O71" s="282"/>
      <c r="P71" s="282"/>
      <c r="Q71" s="282"/>
      <c r="R71" s="282"/>
      <c r="S71" s="283">
        <f t="shared" si="18"/>
        <v>91800</v>
      </c>
      <c r="T71" s="43"/>
      <c r="U71" s="557"/>
      <c r="V71" s="558">
        <v>91800</v>
      </c>
      <c r="W71" s="638">
        <v>91800</v>
      </c>
      <c r="X71" s="638">
        <f t="shared" si="2"/>
        <v>0</v>
      </c>
    </row>
    <row r="72" spans="1:24" s="150" customFormat="1" ht="41.25" customHeight="1">
      <c r="A72" s="153"/>
      <c r="B72" s="153"/>
      <c r="C72" s="153"/>
      <c r="D72" s="412" t="s">
        <v>167</v>
      </c>
      <c r="E72" s="412" t="s">
        <v>168</v>
      </c>
      <c r="F72" s="412" t="s">
        <v>887</v>
      </c>
      <c r="G72" s="413" t="s">
        <v>169</v>
      </c>
      <c r="H72" s="283">
        <f t="shared" si="19"/>
        <v>8046000</v>
      </c>
      <c r="I72" s="282">
        <v>8046000</v>
      </c>
      <c r="J72" s="414"/>
      <c r="K72" s="414"/>
      <c r="L72" s="414"/>
      <c r="M72" s="283">
        <f t="shared" si="17"/>
        <v>0</v>
      </c>
      <c r="N72" s="414"/>
      <c r="O72" s="414"/>
      <c r="P72" s="414"/>
      <c r="Q72" s="414"/>
      <c r="R72" s="414"/>
      <c r="S72" s="283">
        <f t="shared" si="18"/>
        <v>8046000</v>
      </c>
      <c r="T72" s="43"/>
      <c r="U72" s="557"/>
      <c r="V72" s="558"/>
      <c r="W72" s="638"/>
      <c r="X72" s="638"/>
    </row>
    <row r="73" spans="1:24" s="150" customFormat="1" ht="75" customHeight="1">
      <c r="A73" s="149" t="s">
        <v>201</v>
      </c>
      <c r="B73" s="149" t="s">
        <v>1037</v>
      </c>
      <c r="C73" s="149" t="s">
        <v>1038</v>
      </c>
      <c r="D73" s="412" t="s">
        <v>51</v>
      </c>
      <c r="E73" s="412" t="s">
        <v>1037</v>
      </c>
      <c r="F73" s="412" t="s">
        <v>1038</v>
      </c>
      <c r="G73" s="413" t="s">
        <v>1036</v>
      </c>
      <c r="H73" s="283">
        <f>L73+I73</f>
        <v>6927762</v>
      </c>
      <c r="I73" s="414">
        <f>6647704+280058</f>
        <v>6927762</v>
      </c>
      <c r="J73" s="282">
        <f>5283052+232294.5</f>
        <v>5515346.5</v>
      </c>
      <c r="K73" s="282">
        <v>79171</v>
      </c>
      <c r="L73" s="282"/>
      <c r="M73" s="281">
        <f t="shared" si="17"/>
        <v>91639</v>
      </c>
      <c r="N73" s="282"/>
      <c r="O73" s="282">
        <v>91639</v>
      </c>
      <c r="P73" s="282">
        <v>75114</v>
      </c>
      <c r="Q73" s="282"/>
      <c r="R73" s="282"/>
      <c r="S73" s="283">
        <f t="shared" si="18"/>
        <v>7019401</v>
      </c>
      <c r="T73" s="43">
        <f t="shared" si="9"/>
        <v>7019401</v>
      </c>
      <c r="U73" s="557">
        <v>6674843</v>
      </c>
      <c r="V73" s="558">
        <v>60000</v>
      </c>
      <c r="W73" s="638">
        <v>6734843</v>
      </c>
      <c r="X73" s="638">
        <f t="shared" si="2"/>
        <v>284558</v>
      </c>
    </row>
    <row r="74" spans="1:24" s="150" customFormat="1" ht="30" customHeight="1">
      <c r="A74" s="149"/>
      <c r="B74" s="149"/>
      <c r="C74" s="149"/>
      <c r="D74" s="412" t="s">
        <v>1023</v>
      </c>
      <c r="E74" s="415">
        <v>3123</v>
      </c>
      <c r="F74" s="412" t="s">
        <v>887</v>
      </c>
      <c r="G74" s="472" t="s">
        <v>94</v>
      </c>
      <c r="H74" s="283">
        <f>L74+I74</f>
        <v>28000</v>
      </c>
      <c r="I74" s="414">
        <v>28000</v>
      </c>
      <c r="J74" s="281"/>
      <c r="K74" s="281"/>
      <c r="L74" s="281"/>
      <c r="M74" s="281">
        <f>O74+R74</f>
        <v>0</v>
      </c>
      <c r="N74" s="282"/>
      <c r="O74" s="281"/>
      <c r="P74" s="281"/>
      <c r="Q74" s="281"/>
      <c r="R74" s="281"/>
      <c r="S74" s="283">
        <f>H74+M74</f>
        <v>28000</v>
      </c>
      <c r="T74" s="43">
        <f t="shared" si="9"/>
        <v>28000</v>
      </c>
      <c r="U74" s="557">
        <v>28000</v>
      </c>
      <c r="V74" s="558">
        <v>0</v>
      </c>
      <c r="W74" s="638">
        <v>28000</v>
      </c>
      <c r="X74" s="638">
        <f t="shared" si="2"/>
        <v>0</v>
      </c>
    </row>
    <row r="75" spans="1:24" s="150" customFormat="1" ht="75" customHeight="1">
      <c r="A75" s="149"/>
      <c r="B75" s="149"/>
      <c r="C75" s="149"/>
      <c r="D75" s="412" t="s">
        <v>1024</v>
      </c>
      <c r="E75" s="418">
        <v>3140</v>
      </c>
      <c r="F75" s="418">
        <v>1040</v>
      </c>
      <c r="G75" s="413" t="s">
        <v>885</v>
      </c>
      <c r="H75" s="283">
        <f>L75+I75</f>
        <v>810209</v>
      </c>
      <c r="I75" s="414">
        <v>810209</v>
      </c>
      <c r="J75" s="281"/>
      <c r="K75" s="281"/>
      <c r="L75" s="282"/>
      <c r="M75" s="281">
        <f>O75+R75</f>
        <v>0</v>
      </c>
      <c r="N75" s="282"/>
      <c r="O75" s="282"/>
      <c r="P75" s="282"/>
      <c r="Q75" s="282"/>
      <c r="R75" s="282"/>
      <c r="S75" s="283">
        <f>H75+M75</f>
        <v>810209</v>
      </c>
      <c r="T75" s="43">
        <f t="shared" si="9"/>
        <v>810209</v>
      </c>
      <c r="U75" s="557">
        <v>199000</v>
      </c>
      <c r="V75" s="558">
        <v>0</v>
      </c>
      <c r="W75" s="638">
        <v>199000</v>
      </c>
      <c r="X75" s="638">
        <f t="shared" si="2"/>
        <v>611209</v>
      </c>
    </row>
    <row r="76" spans="1:24" s="150" customFormat="1" ht="88.5" customHeight="1">
      <c r="A76" s="153" t="s">
        <v>881</v>
      </c>
      <c r="B76" s="153" t="s">
        <v>323</v>
      </c>
      <c r="C76" s="149"/>
      <c r="D76" s="412" t="s">
        <v>52</v>
      </c>
      <c r="E76" s="412" t="s">
        <v>886</v>
      </c>
      <c r="F76" s="412" t="s">
        <v>460</v>
      </c>
      <c r="G76" s="413" t="s">
        <v>777</v>
      </c>
      <c r="H76" s="283">
        <f>I76+L76</f>
        <v>429830</v>
      </c>
      <c r="I76" s="414">
        <v>429830</v>
      </c>
      <c r="J76" s="282"/>
      <c r="K76" s="282"/>
      <c r="L76" s="282"/>
      <c r="M76" s="281">
        <f t="shared" si="17"/>
        <v>0</v>
      </c>
      <c r="N76" s="282"/>
      <c r="O76" s="282"/>
      <c r="P76" s="282"/>
      <c r="Q76" s="282"/>
      <c r="R76" s="282"/>
      <c r="S76" s="283">
        <f t="shared" si="18"/>
        <v>429830</v>
      </c>
      <c r="T76" s="43">
        <f t="shared" si="9"/>
        <v>429830</v>
      </c>
      <c r="U76" s="557">
        <v>329830</v>
      </c>
      <c r="V76" s="558">
        <v>0</v>
      </c>
      <c r="W76" s="638">
        <v>329830</v>
      </c>
      <c r="X76" s="638">
        <f t="shared" si="2"/>
        <v>100000</v>
      </c>
    </row>
    <row r="77" spans="1:24" s="150" customFormat="1" ht="58.5" customHeight="1">
      <c r="A77" s="149" t="s">
        <v>183</v>
      </c>
      <c r="B77" s="149">
        <v>3202</v>
      </c>
      <c r="C77" s="149">
        <v>1030</v>
      </c>
      <c r="D77" s="412" t="s">
        <v>551</v>
      </c>
      <c r="E77" s="412" t="s">
        <v>577</v>
      </c>
      <c r="F77" s="412">
        <v>1030</v>
      </c>
      <c r="G77" s="413" t="s">
        <v>512</v>
      </c>
      <c r="H77" s="281">
        <f>L77+I77</f>
        <v>32989</v>
      </c>
      <c r="I77" s="282">
        <v>32989</v>
      </c>
      <c r="J77" s="282"/>
      <c r="K77" s="282"/>
      <c r="L77" s="282"/>
      <c r="M77" s="281">
        <f t="shared" si="17"/>
        <v>0</v>
      </c>
      <c r="N77" s="282"/>
      <c r="O77" s="282"/>
      <c r="P77" s="282">
        <v>0</v>
      </c>
      <c r="Q77" s="282">
        <v>0</v>
      </c>
      <c r="R77" s="282">
        <v>0</v>
      </c>
      <c r="S77" s="283">
        <f t="shared" si="18"/>
        <v>32989</v>
      </c>
      <c r="T77" s="43">
        <f t="shared" si="9"/>
        <v>32989</v>
      </c>
      <c r="U77" s="557"/>
      <c r="V77" s="558">
        <v>7129</v>
      </c>
      <c r="W77" s="638">
        <v>7129</v>
      </c>
      <c r="X77" s="638">
        <f t="shared" si="2"/>
        <v>25860</v>
      </c>
    </row>
    <row r="78" spans="1:24" s="150" customFormat="1" ht="33" customHeight="1" hidden="1">
      <c r="A78" s="149"/>
      <c r="B78" s="149"/>
      <c r="C78" s="149"/>
      <c r="D78" s="412" t="s">
        <v>1026</v>
      </c>
      <c r="E78" s="412" t="s">
        <v>1027</v>
      </c>
      <c r="F78" s="412" t="s">
        <v>941</v>
      </c>
      <c r="G78" s="413" t="s">
        <v>779</v>
      </c>
      <c r="H78" s="281">
        <f>L78+I78</f>
        <v>0</v>
      </c>
      <c r="I78" s="282">
        <v>0</v>
      </c>
      <c r="J78" s="282"/>
      <c r="K78" s="282"/>
      <c r="L78" s="282"/>
      <c r="M78" s="281">
        <f t="shared" si="17"/>
        <v>0</v>
      </c>
      <c r="N78" s="282"/>
      <c r="O78" s="282"/>
      <c r="P78" s="282"/>
      <c r="Q78" s="282"/>
      <c r="R78" s="282"/>
      <c r="S78" s="283">
        <f t="shared" si="18"/>
        <v>0</v>
      </c>
      <c r="T78" s="43"/>
      <c r="U78" s="557"/>
      <c r="V78" s="558">
        <v>0</v>
      </c>
      <c r="W78" s="638">
        <v>0</v>
      </c>
      <c r="X78" s="638">
        <f t="shared" si="2"/>
        <v>0</v>
      </c>
    </row>
    <row r="79" spans="1:24" s="150" customFormat="1" ht="185.25" customHeight="1">
      <c r="A79" s="153" t="s">
        <v>462</v>
      </c>
      <c r="B79" s="153">
        <v>1060</v>
      </c>
      <c r="C79" s="153" t="s">
        <v>461</v>
      </c>
      <c r="D79" s="412" t="s">
        <v>586</v>
      </c>
      <c r="E79" s="412" t="s">
        <v>609</v>
      </c>
      <c r="F79" s="412" t="s">
        <v>887</v>
      </c>
      <c r="G79" s="413" t="s">
        <v>815</v>
      </c>
      <c r="H79" s="281">
        <f>L79+I79</f>
        <v>3679700</v>
      </c>
      <c r="I79" s="282">
        <v>3679700</v>
      </c>
      <c r="J79" s="282"/>
      <c r="K79" s="282"/>
      <c r="L79" s="282"/>
      <c r="M79" s="281">
        <f t="shared" si="17"/>
        <v>0</v>
      </c>
      <c r="N79" s="282"/>
      <c r="O79" s="282"/>
      <c r="P79" s="282"/>
      <c r="Q79" s="282"/>
      <c r="R79" s="282"/>
      <c r="S79" s="283">
        <f t="shared" si="18"/>
        <v>3679700</v>
      </c>
      <c r="T79" s="43">
        <f t="shared" si="9"/>
        <v>3679700</v>
      </c>
      <c r="U79" s="557">
        <v>3679700</v>
      </c>
      <c r="V79" s="558">
        <v>0</v>
      </c>
      <c r="W79" s="638">
        <v>3679700</v>
      </c>
      <c r="X79" s="638">
        <f t="shared" si="2"/>
        <v>0</v>
      </c>
    </row>
    <row r="80" spans="1:24" s="25" customFormat="1" ht="40.5" customHeight="1">
      <c r="A80" s="252"/>
      <c r="B80" s="253"/>
      <c r="C80" s="253"/>
      <c r="D80" s="278" t="s">
        <v>532</v>
      </c>
      <c r="E80" s="285"/>
      <c r="F80" s="285"/>
      <c r="G80" s="291" t="s">
        <v>533</v>
      </c>
      <c r="H80" s="280">
        <f>H81</f>
        <v>10000</v>
      </c>
      <c r="I80" s="280">
        <f aca="true" t="shared" si="20" ref="I80:S80">I81</f>
        <v>10000</v>
      </c>
      <c r="J80" s="280">
        <f t="shared" si="20"/>
        <v>0</v>
      </c>
      <c r="K80" s="280">
        <f t="shared" si="20"/>
        <v>0</v>
      </c>
      <c r="L80" s="280">
        <f t="shared" si="20"/>
        <v>0</v>
      </c>
      <c r="M80" s="280">
        <f t="shared" si="20"/>
        <v>0</v>
      </c>
      <c r="N80" s="280">
        <f t="shared" si="20"/>
        <v>0</v>
      </c>
      <c r="O80" s="280">
        <f t="shared" si="20"/>
        <v>0</v>
      </c>
      <c r="P80" s="280">
        <f t="shared" si="20"/>
        <v>0</v>
      </c>
      <c r="Q80" s="280">
        <f t="shared" si="20"/>
        <v>0</v>
      </c>
      <c r="R80" s="280">
        <f t="shared" si="20"/>
        <v>0</v>
      </c>
      <c r="S80" s="280">
        <f t="shared" si="20"/>
        <v>10000</v>
      </c>
      <c r="T80" s="43">
        <f t="shared" si="9"/>
        <v>10000</v>
      </c>
      <c r="U80" s="557">
        <v>10000</v>
      </c>
      <c r="V80" s="558">
        <v>0</v>
      </c>
      <c r="W80" s="638">
        <v>10000</v>
      </c>
      <c r="X80" s="638">
        <f t="shared" si="2"/>
        <v>0</v>
      </c>
    </row>
    <row r="81" spans="1:24" s="25" customFormat="1" ht="36" customHeight="1">
      <c r="A81" s="252"/>
      <c r="B81" s="253"/>
      <c r="C81" s="253"/>
      <c r="D81" s="278" t="s">
        <v>534</v>
      </c>
      <c r="E81" s="285"/>
      <c r="F81" s="285"/>
      <c r="G81" s="291" t="s">
        <v>533</v>
      </c>
      <c r="H81" s="280">
        <f>SUM(H82)</f>
        <v>10000</v>
      </c>
      <c r="I81" s="280">
        <f aca="true" t="shared" si="21" ref="I81:S81">SUM(I82)</f>
        <v>10000</v>
      </c>
      <c r="J81" s="280">
        <f t="shared" si="21"/>
        <v>0</v>
      </c>
      <c r="K81" s="280">
        <f t="shared" si="21"/>
        <v>0</v>
      </c>
      <c r="L81" s="280">
        <f t="shared" si="21"/>
        <v>0</v>
      </c>
      <c r="M81" s="280">
        <f t="shared" si="21"/>
        <v>0</v>
      </c>
      <c r="N81" s="280">
        <f t="shared" si="21"/>
        <v>0</v>
      </c>
      <c r="O81" s="280">
        <f t="shared" si="21"/>
        <v>0</v>
      </c>
      <c r="P81" s="280">
        <f t="shared" si="21"/>
        <v>0</v>
      </c>
      <c r="Q81" s="280">
        <f t="shared" si="21"/>
        <v>0</v>
      </c>
      <c r="R81" s="280">
        <f t="shared" si="21"/>
        <v>0</v>
      </c>
      <c r="S81" s="280">
        <f t="shared" si="21"/>
        <v>10000</v>
      </c>
      <c r="T81" s="43">
        <f t="shared" si="9"/>
        <v>10000</v>
      </c>
      <c r="U81" s="557">
        <v>10000</v>
      </c>
      <c r="V81" s="558">
        <v>0</v>
      </c>
      <c r="W81" s="638">
        <v>10000</v>
      </c>
      <c r="X81" s="638">
        <f t="shared" si="2"/>
        <v>0</v>
      </c>
    </row>
    <row r="82" spans="1:24" s="25" customFormat="1" ht="40.5" customHeight="1">
      <c r="A82" s="147" t="s">
        <v>922</v>
      </c>
      <c r="B82" s="147" t="s">
        <v>923</v>
      </c>
      <c r="C82" s="147" t="s">
        <v>887</v>
      </c>
      <c r="D82" s="410" t="s">
        <v>535</v>
      </c>
      <c r="E82" s="410" t="s">
        <v>923</v>
      </c>
      <c r="F82" s="410" t="s">
        <v>887</v>
      </c>
      <c r="G82" s="421" t="s">
        <v>924</v>
      </c>
      <c r="H82" s="281">
        <f>L82+I82</f>
        <v>10000</v>
      </c>
      <c r="I82" s="282">
        <v>10000</v>
      </c>
      <c r="J82" s="282"/>
      <c r="K82" s="282"/>
      <c r="L82" s="282"/>
      <c r="M82" s="281">
        <f>O82+R82</f>
        <v>0</v>
      </c>
      <c r="N82" s="282"/>
      <c r="O82" s="281"/>
      <c r="P82" s="281"/>
      <c r="Q82" s="281"/>
      <c r="R82" s="281"/>
      <c r="S82" s="283">
        <f>H82+M82</f>
        <v>10000</v>
      </c>
      <c r="T82" s="43">
        <f t="shared" si="9"/>
        <v>10000</v>
      </c>
      <c r="U82" s="557">
        <v>10000</v>
      </c>
      <c r="V82" s="558">
        <v>0</v>
      </c>
      <c r="W82" s="638">
        <v>10000</v>
      </c>
      <c r="X82" s="638">
        <f aca="true" t="shared" si="22" ref="X82:X118">S82-W82</f>
        <v>0</v>
      </c>
    </row>
    <row r="83" spans="1:24" s="154" customFormat="1" ht="42" customHeight="1">
      <c r="A83" s="151">
        <v>2400000</v>
      </c>
      <c r="B83" s="153"/>
      <c r="C83" s="153"/>
      <c r="D83" s="278" t="s">
        <v>12</v>
      </c>
      <c r="E83" s="278"/>
      <c r="F83" s="278"/>
      <c r="G83" s="279" t="s">
        <v>37</v>
      </c>
      <c r="H83" s="280">
        <f>H84</f>
        <v>10794075</v>
      </c>
      <c r="I83" s="280">
        <f aca="true" t="shared" si="23" ref="I83:S83">I84</f>
        <v>10794075</v>
      </c>
      <c r="J83" s="280">
        <f t="shared" si="23"/>
        <v>7406976</v>
      </c>
      <c r="K83" s="280">
        <f t="shared" si="23"/>
        <v>641168</v>
      </c>
      <c r="L83" s="280">
        <f t="shared" si="23"/>
        <v>0</v>
      </c>
      <c r="M83" s="280">
        <f t="shared" si="23"/>
        <v>203807</v>
      </c>
      <c r="N83" s="280">
        <f t="shared" si="23"/>
        <v>24360</v>
      </c>
      <c r="O83" s="280">
        <f t="shared" si="23"/>
        <v>179447</v>
      </c>
      <c r="P83" s="280">
        <f t="shared" si="23"/>
        <v>135613</v>
      </c>
      <c r="Q83" s="280">
        <f t="shared" si="23"/>
        <v>5500</v>
      </c>
      <c r="R83" s="280">
        <f t="shared" si="23"/>
        <v>24360</v>
      </c>
      <c r="S83" s="280">
        <f t="shared" si="23"/>
        <v>10997882</v>
      </c>
      <c r="T83" s="43">
        <f t="shared" si="9"/>
        <v>10997882</v>
      </c>
      <c r="U83" s="557">
        <v>10449953</v>
      </c>
      <c r="V83" s="559">
        <v>60000</v>
      </c>
      <c r="W83" s="638">
        <v>10509953</v>
      </c>
      <c r="X83" s="638">
        <f t="shared" si="22"/>
        <v>487929</v>
      </c>
    </row>
    <row r="84" spans="1:24" s="152" customFormat="1" ht="33.75" customHeight="1">
      <c r="A84" s="151" t="s">
        <v>184</v>
      </c>
      <c r="B84" s="151"/>
      <c r="C84" s="151"/>
      <c r="D84" s="278" t="s">
        <v>1034</v>
      </c>
      <c r="E84" s="278"/>
      <c r="F84" s="278"/>
      <c r="G84" s="279" t="s">
        <v>37</v>
      </c>
      <c r="H84" s="280">
        <f>SUM(H85:H90)</f>
        <v>10794075</v>
      </c>
      <c r="I84" s="280">
        <f aca="true" t="shared" si="24" ref="I84:S84">SUM(I85:I90)</f>
        <v>10794075</v>
      </c>
      <c r="J84" s="280">
        <f t="shared" si="24"/>
        <v>7406976</v>
      </c>
      <c r="K84" s="280">
        <f t="shared" si="24"/>
        <v>641168</v>
      </c>
      <c r="L84" s="280">
        <f t="shared" si="24"/>
        <v>0</v>
      </c>
      <c r="M84" s="280">
        <f t="shared" si="24"/>
        <v>203807</v>
      </c>
      <c r="N84" s="280">
        <f t="shared" si="24"/>
        <v>24360</v>
      </c>
      <c r="O84" s="280">
        <f t="shared" si="24"/>
        <v>179447</v>
      </c>
      <c r="P84" s="280">
        <f t="shared" si="24"/>
        <v>135613</v>
      </c>
      <c r="Q84" s="280">
        <f t="shared" si="24"/>
        <v>5500</v>
      </c>
      <c r="R84" s="280">
        <f t="shared" si="24"/>
        <v>24360</v>
      </c>
      <c r="S84" s="280">
        <f t="shared" si="24"/>
        <v>10997882</v>
      </c>
      <c r="T84" s="43">
        <f t="shared" si="9"/>
        <v>10997882</v>
      </c>
      <c r="U84" s="557">
        <v>10449953</v>
      </c>
      <c r="V84" s="559">
        <v>60000</v>
      </c>
      <c r="W84" s="638">
        <v>10509953</v>
      </c>
      <c r="X84" s="638">
        <f t="shared" si="22"/>
        <v>487929</v>
      </c>
    </row>
    <row r="85" spans="1:24" s="25" customFormat="1" ht="60" customHeight="1">
      <c r="A85" s="153" t="s">
        <v>191</v>
      </c>
      <c r="B85" s="153">
        <v>4100</v>
      </c>
      <c r="C85" s="153" t="s">
        <v>1030</v>
      </c>
      <c r="D85" s="415">
        <v>1011100</v>
      </c>
      <c r="E85" s="412" t="s">
        <v>181</v>
      </c>
      <c r="F85" s="412" t="s">
        <v>1030</v>
      </c>
      <c r="G85" s="416" t="s">
        <v>536</v>
      </c>
      <c r="H85" s="281">
        <f aca="true" t="shared" si="25" ref="H85:H90">L85+I85</f>
        <v>5811679</v>
      </c>
      <c r="I85" s="414">
        <f>5918045-106366</f>
        <v>5811679</v>
      </c>
      <c r="J85" s="282">
        <f>4568152-103800</f>
        <v>4464352</v>
      </c>
      <c r="K85" s="282">
        <v>238733</v>
      </c>
      <c r="L85" s="282"/>
      <c r="M85" s="281">
        <f aca="true" t="shared" si="26" ref="M85:M90">O85+R85</f>
        <v>189807</v>
      </c>
      <c r="N85" s="282">
        <v>24360</v>
      </c>
      <c r="O85" s="282">
        <v>165447</v>
      </c>
      <c r="P85" s="282">
        <v>135613</v>
      </c>
      <c r="Q85" s="282"/>
      <c r="R85" s="282">
        <v>24360</v>
      </c>
      <c r="S85" s="283">
        <f aca="true" t="shared" si="27" ref="S85:S90">H85+M85</f>
        <v>6001486</v>
      </c>
      <c r="T85" s="43">
        <f t="shared" si="9"/>
        <v>6001486</v>
      </c>
      <c r="U85" s="557">
        <v>6164492</v>
      </c>
      <c r="V85" s="558">
        <v>0</v>
      </c>
      <c r="W85" s="638">
        <v>6164492</v>
      </c>
      <c r="X85" s="638">
        <f t="shared" si="22"/>
        <v>-163006</v>
      </c>
    </row>
    <row r="86" spans="1:24" s="154" customFormat="1" ht="28.5" customHeight="1">
      <c r="A86" s="153" t="s">
        <v>186</v>
      </c>
      <c r="B86" s="153">
        <v>4060</v>
      </c>
      <c r="C86" s="153" t="s">
        <v>185</v>
      </c>
      <c r="D86" s="412" t="s">
        <v>537</v>
      </c>
      <c r="E86" s="412" t="s">
        <v>538</v>
      </c>
      <c r="F86" s="412" t="s">
        <v>185</v>
      </c>
      <c r="G86" s="413" t="s">
        <v>539</v>
      </c>
      <c r="H86" s="281">
        <f t="shared" si="25"/>
        <v>1400184</v>
      </c>
      <c r="I86" s="282">
        <v>1400184</v>
      </c>
      <c r="J86" s="282">
        <v>1019158</v>
      </c>
      <c r="K86" s="282">
        <v>134721</v>
      </c>
      <c r="L86" s="282"/>
      <c r="M86" s="281">
        <f t="shared" si="26"/>
        <v>0</v>
      </c>
      <c r="N86" s="282"/>
      <c r="O86" s="282"/>
      <c r="P86" s="282"/>
      <c r="Q86" s="282"/>
      <c r="R86" s="282"/>
      <c r="S86" s="283">
        <f t="shared" si="27"/>
        <v>1400184</v>
      </c>
      <c r="T86" s="43">
        <f t="shared" si="9"/>
        <v>1400184</v>
      </c>
      <c r="U86" s="557">
        <v>1395184</v>
      </c>
      <c r="V86" s="558">
        <v>0</v>
      </c>
      <c r="W86" s="638">
        <v>1395184</v>
      </c>
      <c r="X86" s="638">
        <f t="shared" si="22"/>
        <v>5000</v>
      </c>
    </row>
    <row r="87" spans="1:24" s="154" customFormat="1" ht="26.25" customHeight="1">
      <c r="A87" s="153" t="s">
        <v>188</v>
      </c>
      <c r="B87" s="153" t="s">
        <v>187</v>
      </c>
      <c r="C87" s="153" t="s">
        <v>185</v>
      </c>
      <c r="D87" s="412" t="s">
        <v>975</v>
      </c>
      <c r="E87" s="412" t="s">
        <v>974</v>
      </c>
      <c r="F87" s="412" t="s">
        <v>185</v>
      </c>
      <c r="G87" s="420" t="s">
        <v>540</v>
      </c>
      <c r="H87" s="281">
        <f t="shared" si="25"/>
        <v>36419</v>
      </c>
      <c r="I87" s="282">
        <v>36419</v>
      </c>
      <c r="J87" s="282">
        <v>26792</v>
      </c>
      <c r="K87" s="282">
        <v>3732</v>
      </c>
      <c r="L87" s="282"/>
      <c r="M87" s="281">
        <f t="shared" si="26"/>
        <v>0</v>
      </c>
      <c r="N87" s="282"/>
      <c r="O87" s="282"/>
      <c r="P87" s="282"/>
      <c r="Q87" s="282"/>
      <c r="R87" s="282"/>
      <c r="S87" s="283">
        <f t="shared" si="27"/>
        <v>36419</v>
      </c>
      <c r="T87" s="43">
        <f t="shared" si="9"/>
        <v>36419</v>
      </c>
      <c r="U87" s="557">
        <v>36419</v>
      </c>
      <c r="V87" s="558">
        <v>0</v>
      </c>
      <c r="W87" s="638">
        <v>36419</v>
      </c>
      <c r="X87" s="638">
        <f t="shared" si="22"/>
        <v>0</v>
      </c>
    </row>
    <row r="88" spans="1:24" s="154" customFormat="1" ht="42.75" customHeight="1">
      <c r="A88" s="153" t="s">
        <v>190</v>
      </c>
      <c r="B88" s="153">
        <v>4090</v>
      </c>
      <c r="C88" s="153" t="s">
        <v>189</v>
      </c>
      <c r="D88" s="412" t="s">
        <v>678</v>
      </c>
      <c r="E88" s="412" t="s">
        <v>976</v>
      </c>
      <c r="F88" s="412" t="s">
        <v>189</v>
      </c>
      <c r="G88" s="413" t="s">
        <v>541</v>
      </c>
      <c r="H88" s="281">
        <f t="shared" si="25"/>
        <v>1853394</v>
      </c>
      <c r="I88" s="282">
        <f>1845994+7400</f>
        <v>1853394</v>
      </c>
      <c r="J88" s="282">
        <v>1195666</v>
      </c>
      <c r="K88" s="282">
        <v>225207</v>
      </c>
      <c r="L88" s="282"/>
      <c r="M88" s="281">
        <f t="shared" si="26"/>
        <v>14000</v>
      </c>
      <c r="N88" s="282"/>
      <c r="O88" s="282">
        <v>14000</v>
      </c>
      <c r="P88" s="282"/>
      <c r="Q88" s="282">
        <v>5500</v>
      </c>
      <c r="R88" s="282"/>
      <c r="S88" s="283">
        <f t="shared" si="27"/>
        <v>1867394</v>
      </c>
      <c r="T88" s="43">
        <f t="shared" si="9"/>
        <v>1867394</v>
      </c>
      <c r="U88" s="557">
        <v>1802494</v>
      </c>
      <c r="V88" s="558">
        <v>0</v>
      </c>
      <c r="W88" s="638">
        <v>1802494</v>
      </c>
      <c r="X88" s="638">
        <f t="shared" si="22"/>
        <v>64900</v>
      </c>
    </row>
    <row r="89" spans="1:24" s="154" customFormat="1" ht="45" customHeight="1">
      <c r="A89" s="153"/>
      <c r="B89" s="153"/>
      <c r="C89" s="153"/>
      <c r="D89" s="412" t="s">
        <v>88</v>
      </c>
      <c r="E89" s="412" t="s">
        <v>89</v>
      </c>
      <c r="F89" s="412" t="s">
        <v>192</v>
      </c>
      <c r="G89" s="413" t="s">
        <v>92</v>
      </c>
      <c r="H89" s="281">
        <f t="shared" si="25"/>
        <v>1401966</v>
      </c>
      <c r="I89" s="282">
        <f>1120101+281865</f>
        <v>1401966</v>
      </c>
      <c r="J89" s="282">
        <f>650708+50300</f>
        <v>701008</v>
      </c>
      <c r="K89" s="282">
        <v>38775</v>
      </c>
      <c r="L89" s="282"/>
      <c r="M89" s="281">
        <f t="shared" si="26"/>
        <v>0</v>
      </c>
      <c r="N89" s="282"/>
      <c r="O89" s="282"/>
      <c r="P89" s="282"/>
      <c r="Q89" s="282"/>
      <c r="R89" s="282"/>
      <c r="S89" s="283">
        <f t="shared" si="27"/>
        <v>1401966</v>
      </c>
      <c r="T89" s="43">
        <f t="shared" si="9"/>
        <v>1401966</v>
      </c>
      <c r="U89" s="557">
        <v>914751</v>
      </c>
      <c r="V89" s="558">
        <v>55000</v>
      </c>
      <c r="W89" s="638">
        <v>969751</v>
      </c>
      <c r="X89" s="638">
        <f t="shared" si="22"/>
        <v>432215</v>
      </c>
    </row>
    <row r="90" spans="1:24" s="154" customFormat="1" ht="28.5" customHeight="1">
      <c r="A90" s="153"/>
      <c r="B90" s="153"/>
      <c r="C90" s="153"/>
      <c r="D90" s="412" t="s">
        <v>90</v>
      </c>
      <c r="E90" s="412" t="s">
        <v>91</v>
      </c>
      <c r="F90" s="412" t="s">
        <v>192</v>
      </c>
      <c r="G90" s="413" t="s">
        <v>93</v>
      </c>
      <c r="H90" s="281">
        <f t="shared" si="25"/>
        <v>290433</v>
      </c>
      <c r="I90" s="282">
        <f>230433+60000</f>
        <v>290433</v>
      </c>
      <c r="J90" s="282"/>
      <c r="K90" s="282"/>
      <c r="L90" s="282"/>
      <c r="M90" s="281">
        <f t="shared" si="26"/>
        <v>0</v>
      </c>
      <c r="N90" s="282"/>
      <c r="O90" s="282"/>
      <c r="P90" s="282"/>
      <c r="Q90" s="282"/>
      <c r="R90" s="282"/>
      <c r="S90" s="283">
        <f t="shared" si="27"/>
        <v>290433</v>
      </c>
      <c r="T90" s="43">
        <f aca="true" t="shared" si="28" ref="T90:T118">H90+M90</f>
        <v>290433</v>
      </c>
      <c r="U90" s="557">
        <v>136613</v>
      </c>
      <c r="V90" s="558">
        <v>5000</v>
      </c>
      <c r="W90" s="638">
        <v>141613</v>
      </c>
      <c r="X90" s="638">
        <f t="shared" si="22"/>
        <v>148820</v>
      </c>
    </row>
    <row r="91" spans="1:24" s="26" customFormat="1" ht="47.25" customHeight="1" hidden="1">
      <c r="A91" s="147" t="s">
        <v>890</v>
      </c>
      <c r="B91" s="147">
        <v>5011</v>
      </c>
      <c r="C91" s="147" t="s">
        <v>889</v>
      </c>
      <c r="D91" s="418">
        <v>1115011</v>
      </c>
      <c r="E91" s="418">
        <v>5011</v>
      </c>
      <c r="F91" s="412" t="s">
        <v>889</v>
      </c>
      <c r="G91" s="413" t="s">
        <v>888</v>
      </c>
      <c r="H91" s="281">
        <f>L91+I91</f>
        <v>0</v>
      </c>
      <c r="I91" s="282"/>
      <c r="J91" s="281"/>
      <c r="K91" s="281"/>
      <c r="L91" s="282"/>
      <c r="M91" s="281">
        <f>O91+R91</f>
        <v>0</v>
      </c>
      <c r="N91" s="281"/>
      <c r="O91" s="282"/>
      <c r="P91" s="282"/>
      <c r="Q91" s="282"/>
      <c r="R91" s="282"/>
      <c r="S91" s="283">
        <f>H91+M91</f>
        <v>0</v>
      </c>
      <c r="T91" s="43">
        <f t="shared" si="28"/>
        <v>0</v>
      </c>
      <c r="U91" s="557">
        <v>0</v>
      </c>
      <c r="V91" s="558">
        <v>0</v>
      </c>
      <c r="W91" s="638">
        <v>0</v>
      </c>
      <c r="X91" s="638">
        <f t="shared" si="22"/>
        <v>0</v>
      </c>
    </row>
    <row r="92" spans="1:24" s="25" customFormat="1" ht="54.75" customHeight="1">
      <c r="A92" s="161">
        <v>4000000</v>
      </c>
      <c r="B92" s="71"/>
      <c r="C92" s="71"/>
      <c r="D92" s="286">
        <v>1200000</v>
      </c>
      <c r="E92" s="285"/>
      <c r="F92" s="285"/>
      <c r="G92" s="279" t="s">
        <v>296</v>
      </c>
      <c r="H92" s="280">
        <f>H93</f>
        <v>150000</v>
      </c>
      <c r="I92" s="280">
        <f aca="true" t="shared" si="29" ref="I92:S92">I93</f>
        <v>100000</v>
      </c>
      <c r="J92" s="280">
        <f t="shared" si="29"/>
        <v>0</v>
      </c>
      <c r="K92" s="280">
        <f t="shared" si="29"/>
        <v>0</v>
      </c>
      <c r="L92" s="280">
        <f t="shared" si="29"/>
        <v>50000</v>
      </c>
      <c r="M92" s="280">
        <f t="shared" si="29"/>
        <v>0</v>
      </c>
      <c r="N92" s="280">
        <f t="shared" si="29"/>
        <v>0</v>
      </c>
      <c r="O92" s="280">
        <f t="shared" si="29"/>
        <v>0</v>
      </c>
      <c r="P92" s="280">
        <f t="shared" si="29"/>
        <v>0</v>
      </c>
      <c r="Q92" s="280">
        <f t="shared" si="29"/>
        <v>0</v>
      </c>
      <c r="R92" s="280">
        <f t="shared" si="29"/>
        <v>0</v>
      </c>
      <c r="S92" s="280">
        <f t="shared" si="29"/>
        <v>150000</v>
      </c>
      <c r="T92" s="43">
        <f t="shared" si="28"/>
        <v>150000</v>
      </c>
      <c r="U92" s="557">
        <v>150000</v>
      </c>
      <c r="V92" s="559">
        <v>0</v>
      </c>
      <c r="W92" s="638">
        <v>150000</v>
      </c>
      <c r="X92" s="638">
        <f t="shared" si="22"/>
        <v>0</v>
      </c>
    </row>
    <row r="93" spans="1:24" s="25" customFormat="1" ht="55.5" customHeight="1">
      <c r="A93" s="161">
        <v>4010000</v>
      </c>
      <c r="B93" s="71"/>
      <c r="C93" s="71"/>
      <c r="D93" s="287">
        <v>1210000</v>
      </c>
      <c r="E93" s="287"/>
      <c r="F93" s="287"/>
      <c r="G93" s="279" t="s">
        <v>296</v>
      </c>
      <c r="H93" s="280">
        <f aca="true" t="shared" si="30" ref="H93:S93">SUM(H94:H97)</f>
        <v>150000</v>
      </c>
      <c r="I93" s="280">
        <f t="shared" si="30"/>
        <v>100000</v>
      </c>
      <c r="J93" s="280">
        <f t="shared" si="30"/>
        <v>0</v>
      </c>
      <c r="K93" s="280">
        <f t="shared" si="30"/>
        <v>0</v>
      </c>
      <c r="L93" s="280">
        <f t="shared" si="30"/>
        <v>50000</v>
      </c>
      <c r="M93" s="280">
        <f t="shared" si="30"/>
        <v>0</v>
      </c>
      <c r="N93" s="280">
        <f t="shared" si="30"/>
        <v>0</v>
      </c>
      <c r="O93" s="280">
        <f t="shared" si="30"/>
        <v>0</v>
      </c>
      <c r="P93" s="280">
        <f t="shared" si="30"/>
        <v>0</v>
      </c>
      <c r="Q93" s="280">
        <f t="shared" si="30"/>
        <v>0</v>
      </c>
      <c r="R93" s="280">
        <f t="shared" si="30"/>
        <v>0</v>
      </c>
      <c r="S93" s="280">
        <f t="shared" si="30"/>
        <v>150000</v>
      </c>
      <c r="T93" s="43">
        <f t="shared" si="28"/>
        <v>150000</v>
      </c>
      <c r="U93" s="557">
        <v>150000</v>
      </c>
      <c r="V93" s="559">
        <v>0</v>
      </c>
      <c r="W93" s="638">
        <v>150000</v>
      </c>
      <c r="X93" s="638">
        <f t="shared" si="22"/>
        <v>0</v>
      </c>
    </row>
    <row r="94" spans="1:24" s="25" customFormat="1" ht="53.25" customHeight="1">
      <c r="A94" s="153"/>
      <c r="B94" s="51"/>
      <c r="C94" s="51"/>
      <c r="D94" s="412" t="s">
        <v>526</v>
      </c>
      <c r="E94" s="412" t="s">
        <v>525</v>
      </c>
      <c r="F94" s="412" t="s">
        <v>884</v>
      </c>
      <c r="G94" s="419" t="s">
        <v>524</v>
      </c>
      <c r="H94" s="281">
        <f>L94+I94</f>
        <v>50000</v>
      </c>
      <c r="I94" s="282">
        <v>50000</v>
      </c>
      <c r="J94" s="282"/>
      <c r="K94" s="371"/>
      <c r="L94" s="281"/>
      <c r="M94" s="281">
        <f>O94+R94</f>
        <v>0</v>
      </c>
      <c r="N94" s="281"/>
      <c r="O94" s="282"/>
      <c r="P94" s="282"/>
      <c r="Q94" s="282"/>
      <c r="R94" s="282"/>
      <c r="S94" s="283">
        <f>H94+M94</f>
        <v>50000</v>
      </c>
      <c r="T94" s="43">
        <f t="shared" si="28"/>
        <v>50000</v>
      </c>
      <c r="U94" s="557">
        <v>50000</v>
      </c>
      <c r="V94" s="558">
        <v>0</v>
      </c>
      <c r="W94" s="638">
        <v>50000</v>
      </c>
      <c r="X94" s="638">
        <f t="shared" si="22"/>
        <v>0</v>
      </c>
    </row>
    <row r="95" spans="1:24" s="25" customFormat="1" ht="27.75" customHeight="1">
      <c r="A95" s="153" t="s">
        <v>896</v>
      </c>
      <c r="B95" s="153">
        <v>7810</v>
      </c>
      <c r="C95" s="153" t="s">
        <v>196</v>
      </c>
      <c r="D95" s="412" t="s">
        <v>654</v>
      </c>
      <c r="E95" s="412" t="s">
        <v>655</v>
      </c>
      <c r="F95" s="412" t="s">
        <v>656</v>
      </c>
      <c r="G95" s="417" t="s">
        <v>657</v>
      </c>
      <c r="H95" s="281">
        <f>L95+I95</f>
        <v>50000</v>
      </c>
      <c r="I95" s="282"/>
      <c r="J95" s="281"/>
      <c r="K95" s="281"/>
      <c r="L95" s="282">
        <v>50000</v>
      </c>
      <c r="M95" s="281">
        <f>O95+R95</f>
        <v>0</v>
      </c>
      <c r="N95" s="281"/>
      <c r="O95" s="281"/>
      <c r="P95" s="281"/>
      <c r="Q95" s="281"/>
      <c r="R95" s="281"/>
      <c r="S95" s="283">
        <f>H95+M95</f>
        <v>50000</v>
      </c>
      <c r="T95" s="43">
        <f t="shared" si="28"/>
        <v>50000</v>
      </c>
      <c r="U95" s="557">
        <v>50000</v>
      </c>
      <c r="V95" s="558">
        <v>0</v>
      </c>
      <c r="W95" s="638">
        <v>50000</v>
      </c>
      <c r="X95" s="638">
        <f t="shared" si="22"/>
        <v>0</v>
      </c>
    </row>
    <row r="96" spans="1:24" s="25" customFormat="1" ht="46.5" customHeight="1">
      <c r="A96" s="153"/>
      <c r="B96" s="153"/>
      <c r="C96" s="153"/>
      <c r="D96" s="412" t="s">
        <v>542</v>
      </c>
      <c r="E96" s="412" t="s">
        <v>543</v>
      </c>
      <c r="F96" s="412" t="s">
        <v>196</v>
      </c>
      <c r="G96" s="417" t="s">
        <v>544</v>
      </c>
      <c r="H96" s="281">
        <f>L96+I96</f>
        <v>30000</v>
      </c>
      <c r="I96" s="282">
        <v>30000</v>
      </c>
      <c r="J96" s="281"/>
      <c r="K96" s="281"/>
      <c r="L96" s="368"/>
      <c r="M96" s="281">
        <f>O96+R96</f>
        <v>0</v>
      </c>
      <c r="N96" s="281"/>
      <c r="O96" s="281"/>
      <c r="P96" s="281"/>
      <c r="Q96" s="281"/>
      <c r="R96" s="281"/>
      <c r="S96" s="283">
        <f>H96+M96</f>
        <v>30000</v>
      </c>
      <c r="T96" s="43">
        <f t="shared" si="28"/>
        <v>30000</v>
      </c>
      <c r="U96" s="557">
        <v>30000</v>
      </c>
      <c r="V96" s="558">
        <v>0</v>
      </c>
      <c r="W96" s="638">
        <v>30000</v>
      </c>
      <c r="X96" s="638">
        <f t="shared" si="22"/>
        <v>0</v>
      </c>
    </row>
    <row r="97" spans="1:24" s="25" customFormat="1" ht="46.5" customHeight="1">
      <c r="A97" s="153"/>
      <c r="B97" s="153"/>
      <c r="C97" s="153"/>
      <c r="D97" s="412" t="s">
        <v>658</v>
      </c>
      <c r="E97" s="412" t="s">
        <v>659</v>
      </c>
      <c r="F97" s="412" t="s">
        <v>660</v>
      </c>
      <c r="G97" s="417" t="s">
        <v>496</v>
      </c>
      <c r="H97" s="281">
        <f>L97+I97</f>
        <v>20000</v>
      </c>
      <c r="I97" s="282">
        <v>20000</v>
      </c>
      <c r="J97" s="282"/>
      <c r="K97" s="282"/>
      <c r="L97" s="371"/>
      <c r="M97" s="281">
        <f>O97+R97</f>
        <v>0</v>
      </c>
      <c r="N97" s="281"/>
      <c r="O97" s="282"/>
      <c r="P97" s="282"/>
      <c r="Q97" s="282"/>
      <c r="R97" s="282"/>
      <c r="S97" s="283">
        <f>H97+M97</f>
        <v>20000</v>
      </c>
      <c r="T97" s="43">
        <f t="shared" si="28"/>
        <v>20000</v>
      </c>
      <c r="U97" s="557">
        <v>20000</v>
      </c>
      <c r="V97" s="558">
        <v>0</v>
      </c>
      <c r="W97" s="638">
        <v>20000</v>
      </c>
      <c r="X97" s="638">
        <f t="shared" si="22"/>
        <v>0</v>
      </c>
    </row>
    <row r="98" spans="1:24" s="25" customFormat="1" ht="71.25" customHeight="1">
      <c r="A98" s="153"/>
      <c r="B98" s="153"/>
      <c r="C98" s="153"/>
      <c r="D98" s="287">
        <v>1600000</v>
      </c>
      <c r="E98" s="369"/>
      <c r="F98" s="369"/>
      <c r="G98" s="370" t="s">
        <v>1020</v>
      </c>
      <c r="H98" s="280">
        <f>H99</f>
        <v>100000</v>
      </c>
      <c r="I98" s="280">
        <f aca="true" t="shared" si="31" ref="I98:R98">I99</f>
        <v>0</v>
      </c>
      <c r="J98" s="280">
        <f t="shared" si="31"/>
        <v>0</v>
      </c>
      <c r="K98" s="280">
        <f t="shared" si="31"/>
        <v>0</v>
      </c>
      <c r="L98" s="280">
        <f t="shared" si="31"/>
        <v>100000</v>
      </c>
      <c r="M98" s="280">
        <f t="shared" si="31"/>
        <v>0</v>
      </c>
      <c r="N98" s="280"/>
      <c r="O98" s="280">
        <f t="shared" si="31"/>
        <v>0</v>
      </c>
      <c r="P98" s="280">
        <f t="shared" si="31"/>
        <v>0</v>
      </c>
      <c r="Q98" s="280">
        <f t="shared" si="31"/>
        <v>0</v>
      </c>
      <c r="R98" s="280">
        <f t="shared" si="31"/>
        <v>0</v>
      </c>
      <c r="S98" s="280">
        <f>S99</f>
        <v>100000</v>
      </c>
      <c r="T98" s="43"/>
      <c r="U98" s="557"/>
      <c r="V98" s="559">
        <v>100000</v>
      </c>
      <c r="W98" s="638">
        <v>100000</v>
      </c>
      <c r="X98" s="638">
        <f t="shared" si="22"/>
        <v>0</v>
      </c>
    </row>
    <row r="99" spans="1:24" s="25" customFormat="1" ht="71.25" customHeight="1">
      <c r="A99" s="153"/>
      <c r="B99" s="153"/>
      <c r="C99" s="153"/>
      <c r="D99" s="287">
        <v>1610000</v>
      </c>
      <c r="E99" s="369"/>
      <c r="F99" s="369"/>
      <c r="G99" s="370" t="s">
        <v>1020</v>
      </c>
      <c r="H99" s="280">
        <f>SUM(H100)</f>
        <v>100000</v>
      </c>
      <c r="I99" s="280">
        <f aca="true" t="shared" si="32" ref="I99:S99">SUM(I100)</f>
        <v>0</v>
      </c>
      <c r="J99" s="280">
        <f t="shared" si="32"/>
        <v>0</v>
      </c>
      <c r="K99" s="280">
        <f t="shared" si="32"/>
        <v>0</v>
      </c>
      <c r="L99" s="280">
        <f t="shared" si="32"/>
        <v>100000</v>
      </c>
      <c r="M99" s="280">
        <f t="shared" si="32"/>
        <v>0</v>
      </c>
      <c r="N99" s="280">
        <f t="shared" si="32"/>
        <v>0</v>
      </c>
      <c r="O99" s="280">
        <f t="shared" si="32"/>
        <v>0</v>
      </c>
      <c r="P99" s="280">
        <f t="shared" si="32"/>
        <v>0</v>
      </c>
      <c r="Q99" s="280">
        <f t="shared" si="32"/>
        <v>0</v>
      </c>
      <c r="R99" s="280">
        <f t="shared" si="32"/>
        <v>0</v>
      </c>
      <c r="S99" s="280">
        <f t="shared" si="32"/>
        <v>100000</v>
      </c>
      <c r="T99" s="43"/>
      <c r="U99" s="557"/>
      <c r="V99" s="559">
        <v>100000</v>
      </c>
      <c r="W99" s="638">
        <v>100000</v>
      </c>
      <c r="X99" s="638">
        <f t="shared" si="22"/>
        <v>0</v>
      </c>
    </row>
    <row r="100" spans="1:24" s="25" customFormat="1" ht="46.5" customHeight="1">
      <c r="A100" s="153"/>
      <c r="B100" s="153"/>
      <c r="C100" s="153"/>
      <c r="D100" s="412" t="s">
        <v>1021</v>
      </c>
      <c r="E100" s="412" t="s">
        <v>490</v>
      </c>
      <c r="F100" s="412" t="s">
        <v>650</v>
      </c>
      <c r="G100" s="413" t="s">
        <v>491</v>
      </c>
      <c r="H100" s="281">
        <f>L100</f>
        <v>100000</v>
      </c>
      <c r="I100" s="282"/>
      <c r="J100" s="282"/>
      <c r="K100" s="282"/>
      <c r="L100" s="282">
        <v>100000</v>
      </c>
      <c r="M100" s="281">
        <f>O100+R100</f>
        <v>0</v>
      </c>
      <c r="N100" s="281"/>
      <c r="O100" s="282"/>
      <c r="P100" s="282"/>
      <c r="Q100" s="282"/>
      <c r="R100" s="282"/>
      <c r="S100" s="283">
        <f>H100+M100</f>
        <v>100000</v>
      </c>
      <c r="T100" s="43"/>
      <c r="U100" s="557"/>
      <c r="V100" s="558">
        <v>100000</v>
      </c>
      <c r="W100" s="638">
        <v>100000</v>
      </c>
      <c r="X100" s="638">
        <f t="shared" si="22"/>
        <v>0</v>
      </c>
    </row>
    <row r="101" spans="1:24" s="25" customFormat="1" ht="53.25" customHeight="1" hidden="1">
      <c r="A101" s="161">
        <v>5300000</v>
      </c>
      <c r="B101" s="71"/>
      <c r="C101" s="71"/>
      <c r="D101" s="287">
        <v>2400000</v>
      </c>
      <c r="E101" s="369"/>
      <c r="F101" s="369"/>
      <c r="G101" s="370" t="s">
        <v>38</v>
      </c>
      <c r="H101" s="280">
        <f>H102</f>
        <v>0</v>
      </c>
      <c r="I101" s="280">
        <f aca="true" t="shared" si="33" ref="I101:S101">I102</f>
        <v>0</v>
      </c>
      <c r="J101" s="280">
        <f t="shared" si="33"/>
        <v>0</v>
      </c>
      <c r="K101" s="280">
        <f t="shared" si="33"/>
        <v>0</v>
      </c>
      <c r="L101" s="280">
        <f t="shared" si="33"/>
        <v>0</v>
      </c>
      <c r="M101" s="280">
        <f t="shared" si="33"/>
        <v>0</v>
      </c>
      <c r="N101" s="280">
        <f t="shared" si="33"/>
        <v>0</v>
      </c>
      <c r="O101" s="280">
        <f t="shared" si="33"/>
        <v>0</v>
      </c>
      <c r="P101" s="280">
        <f t="shared" si="33"/>
        <v>0</v>
      </c>
      <c r="Q101" s="280">
        <f t="shared" si="33"/>
        <v>0</v>
      </c>
      <c r="R101" s="280">
        <f t="shared" si="33"/>
        <v>0</v>
      </c>
      <c r="S101" s="280">
        <f t="shared" si="33"/>
        <v>0</v>
      </c>
      <c r="T101" s="43">
        <f t="shared" si="28"/>
        <v>0</v>
      </c>
      <c r="U101" s="557">
        <v>0</v>
      </c>
      <c r="V101" s="558">
        <v>0</v>
      </c>
      <c r="W101" s="638">
        <v>0</v>
      </c>
      <c r="X101" s="638">
        <f t="shared" si="22"/>
        <v>0</v>
      </c>
    </row>
    <row r="102" spans="1:24" s="25" customFormat="1" ht="54.75" customHeight="1" hidden="1">
      <c r="A102" s="161">
        <v>5310000</v>
      </c>
      <c r="B102" s="71"/>
      <c r="C102" s="71"/>
      <c r="D102" s="287">
        <v>2410000</v>
      </c>
      <c r="E102" s="369"/>
      <c r="F102" s="369"/>
      <c r="G102" s="370" t="s">
        <v>38</v>
      </c>
      <c r="H102" s="280">
        <f>SUM(H103:H104)</f>
        <v>0</v>
      </c>
      <c r="I102" s="280">
        <f aca="true" t="shared" si="34" ref="I102:S102">SUM(I103:I104)</f>
        <v>0</v>
      </c>
      <c r="J102" s="280">
        <f t="shared" si="34"/>
        <v>0</v>
      </c>
      <c r="K102" s="280">
        <f t="shared" si="34"/>
        <v>0</v>
      </c>
      <c r="L102" s="280">
        <f t="shared" si="34"/>
        <v>0</v>
      </c>
      <c r="M102" s="280">
        <f t="shared" si="34"/>
        <v>0</v>
      </c>
      <c r="N102" s="280">
        <f t="shared" si="34"/>
        <v>0</v>
      </c>
      <c r="O102" s="280">
        <f t="shared" si="34"/>
        <v>0</v>
      </c>
      <c r="P102" s="280">
        <f t="shared" si="34"/>
        <v>0</v>
      </c>
      <c r="Q102" s="280">
        <f t="shared" si="34"/>
        <v>0</v>
      </c>
      <c r="R102" s="280">
        <f t="shared" si="34"/>
        <v>0</v>
      </c>
      <c r="S102" s="280">
        <f t="shared" si="34"/>
        <v>0</v>
      </c>
      <c r="T102" s="43">
        <f t="shared" si="28"/>
        <v>0</v>
      </c>
      <c r="U102" s="557">
        <v>0</v>
      </c>
      <c r="V102" s="558">
        <v>0</v>
      </c>
      <c r="W102" s="638">
        <v>0</v>
      </c>
      <c r="X102" s="638">
        <f t="shared" si="22"/>
        <v>0</v>
      </c>
    </row>
    <row r="103" spans="1:24" s="25" customFormat="1" ht="46.5" customHeight="1" hidden="1">
      <c r="A103" s="71">
        <v>5317330</v>
      </c>
      <c r="B103" s="71">
        <v>7330</v>
      </c>
      <c r="C103" s="51" t="s">
        <v>913</v>
      </c>
      <c r="D103" s="418">
        <v>2417110</v>
      </c>
      <c r="E103" s="418">
        <v>7110</v>
      </c>
      <c r="F103" s="412" t="s">
        <v>913</v>
      </c>
      <c r="G103" s="417" t="s">
        <v>564</v>
      </c>
      <c r="H103" s="281">
        <f>L103+I103</f>
        <v>0</v>
      </c>
      <c r="I103" s="368"/>
      <c r="J103" s="281"/>
      <c r="K103" s="281"/>
      <c r="L103" s="282"/>
      <c r="M103" s="281">
        <f>O103+R103</f>
        <v>0</v>
      </c>
      <c r="N103" s="282"/>
      <c r="O103" s="281"/>
      <c r="P103" s="281"/>
      <c r="Q103" s="281"/>
      <c r="R103" s="281"/>
      <c r="S103" s="283">
        <f>H103+M103</f>
        <v>0</v>
      </c>
      <c r="T103" s="43">
        <f t="shared" si="28"/>
        <v>0</v>
      </c>
      <c r="U103" s="557">
        <v>0</v>
      </c>
      <c r="V103" s="558">
        <v>0</v>
      </c>
      <c r="W103" s="638">
        <v>0</v>
      </c>
      <c r="X103" s="638">
        <f t="shared" si="22"/>
        <v>0</v>
      </c>
    </row>
    <row r="104" spans="1:24" s="25" customFormat="1" ht="46.5" customHeight="1" hidden="1">
      <c r="A104" s="71"/>
      <c r="B104" s="71"/>
      <c r="C104" s="51"/>
      <c r="D104" s="418">
        <v>2417140</v>
      </c>
      <c r="E104" s="418">
        <v>7140</v>
      </c>
      <c r="F104" s="412" t="s">
        <v>913</v>
      </c>
      <c r="G104" s="417" t="s">
        <v>511</v>
      </c>
      <c r="H104" s="281">
        <f>L104+I104</f>
        <v>0</v>
      </c>
      <c r="I104" s="282"/>
      <c r="J104" s="281"/>
      <c r="K104" s="281"/>
      <c r="L104" s="282"/>
      <c r="M104" s="281">
        <f>O104+R104</f>
        <v>0</v>
      </c>
      <c r="N104" s="282"/>
      <c r="O104" s="281"/>
      <c r="P104" s="281"/>
      <c r="Q104" s="281"/>
      <c r="R104" s="281"/>
      <c r="S104" s="283">
        <f>H104+M104</f>
        <v>0</v>
      </c>
      <c r="T104" s="43"/>
      <c r="U104" s="557"/>
      <c r="V104" s="558">
        <v>0</v>
      </c>
      <c r="W104" s="638">
        <v>0</v>
      </c>
      <c r="X104" s="638">
        <f t="shared" si="22"/>
        <v>0</v>
      </c>
    </row>
    <row r="105" spans="1:24" s="154" customFormat="1" ht="45.75" customHeight="1">
      <c r="A105" s="151">
        <v>7300000</v>
      </c>
      <c r="B105" s="153"/>
      <c r="C105" s="153"/>
      <c r="D105" s="278" t="s">
        <v>565</v>
      </c>
      <c r="E105" s="284"/>
      <c r="F105" s="284"/>
      <c r="G105" s="370" t="s">
        <v>197</v>
      </c>
      <c r="H105" s="280">
        <f>H106</f>
        <v>55000</v>
      </c>
      <c r="I105" s="280">
        <f aca="true" t="shared" si="35" ref="I105:S105">I106</f>
        <v>55000</v>
      </c>
      <c r="J105" s="280">
        <f t="shared" si="35"/>
        <v>0</v>
      </c>
      <c r="K105" s="280">
        <f t="shared" si="35"/>
        <v>0</v>
      </c>
      <c r="L105" s="280">
        <f t="shared" si="35"/>
        <v>0</v>
      </c>
      <c r="M105" s="280">
        <f t="shared" si="35"/>
        <v>0</v>
      </c>
      <c r="N105" s="280"/>
      <c r="O105" s="280">
        <f t="shared" si="35"/>
        <v>0</v>
      </c>
      <c r="P105" s="280">
        <f t="shared" si="35"/>
        <v>0</v>
      </c>
      <c r="Q105" s="280">
        <f t="shared" si="35"/>
        <v>0</v>
      </c>
      <c r="R105" s="280">
        <f t="shared" si="35"/>
        <v>0</v>
      </c>
      <c r="S105" s="280">
        <f t="shared" si="35"/>
        <v>55000</v>
      </c>
      <c r="T105" s="43">
        <f t="shared" si="28"/>
        <v>55000</v>
      </c>
      <c r="U105" s="557">
        <v>0</v>
      </c>
      <c r="V105" s="558">
        <v>0</v>
      </c>
      <c r="W105" s="638">
        <v>0</v>
      </c>
      <c r="X105" s="638">
        <f t="shared" si="22"/>
        <v>55000</v>
      </c>
    </row>
    <row r="106" spans="1:24" s="154" customFormat="1" ht="49.5" customHeight="1">
      <c r="A106" s="151">
        <v>7310000</v>
      </c>
      <c r="B106" s="153"/>
      <c r="C106" s="153"/>
      <c r="D106" s="278" t="s">
        <v>566</v>
      </c>
      <c r="E106" s="284"/>
      <c r="F106" s="284"/>
      <c r="G106" s="370" t="s">
        <v>197</v>
      </c>
      <c r="H106" s="280">
        <f>SUM(H107:H108)</f>
        <v>55000</v>
      </c>
      <c r="I106" s="280">
        <f aca="true" t="shared" si="36" ref="I106:S106">SUM(I107:I108)</f>
        <v>55000</v>
      </c>
      <c r="J106" s="280">
        <f t="shared" si="36"/>
        <v>0</v>
      </c>
      <c r="K106" s="280">
        <f t="shared" si="36"/>
        <v>0</v>
      </c>
      <c r="L106" s="280">
        <f t="shared" si="36"/>
        <v>0</v>
      </c>
      <c r="M106" s="280">
        <f t="shared" si="36"/>
        <v>0</v>
      </c>
      <c r="N106" s="280">
        <f t="shared" si="36"/>
        <v>0</v>
      </c>
      <c r="O106" s="280">
        <f t="shared" si="36"/>
        <v>0</v>
      </c>
      <c r="P106" s="280">
        <f t="shared" si="36"/>
        <v>0</v>
      </c>
      <c r="Q106" s="280">
        <f t="shared" si="36"/>
        <v>0</v>
      </c>
      <c r="R106" s="280">
        <f t="shared" si="36"/>
        <v>0</v>
      </c>
      <c r="S106" s="280">
        <f t="shared" si="36"/>
        <v>55000</v>
      </c>
      <c r="T106" s="43">
        <f t="shared" si="28"/>
        <v>55000</v>
      </c>
      <c r="U106" s="557">
        <v>0</v>
      </c>
      <c r="V106" s="558">
        <v>0</v>
      </c>
      <c r="W106" s="638">
        <v>0</v>
      </c>
      <c r="X106" s="638">
        <f t="shared" si="22"/>
        <v>55000</v>
      </c>
    </row>
    <row r="107" spans="1:24" s="154" customFormat="1" ht="44.25" customHeight="1" hidden="1">
      <c r="A107" s="153" t="s">
        <v>993</v>
      </c>
      <c r="B107" s="153" t="s">
        <v>994</v>
      </c>
      <c r="C107" s="153" t="s">
        <v>995</v>
      </c>
      <c r="D107" s="412" t="s">
        <v>567</v>
      </c>
      <c r="E107" s="412" t="s">
        <v>521</v>
      </c>
      <c r="F107" s="412" t="s">
        <v>995</v>
      </c>
      <c r="G107" s="417" t="s">
        <v>996</v>
      </c>
      <c r="H107" s="281">
        <f>L107+I107</f>
        <v>0</v>
      </c>
      <c r="I107" s="282"/>
      <c r="J107" s="281"/>
      <c r="K107" s="281"/>
      <c r="L107" s="368"/>
      <c r="M107" s="281">
        <f>O107+R107</f>
        <v>0</v>
      </c>
      <c r="N107" s="281"/>
      <c r="O107" s="281"/>
      <c r="P107" s="281"/>
      <c r="Q107" s="281"/>
      <c r="R107" s="281"/>
      <c r="S107" s="283">
        <f>H107+M107</f>
        <v>0</v>
      </c>
      <c r="T107" s="43">
        <f t="shared" si="28"/>
        <v>0</v>
      </c>
      <c r="U107" s="557">
        <v>0</v>
      </c>
      <c r="V107" s="558">
        <v>0</v>
      </c>
      <c r="W107" s="638">
        <v>0</v>
      </c>
      <c r="X107" s="638">
        <f t="shared" si="22"/>
        <v>0</v>
      </c>
    </row>
    <row r="108" spans="1:24" s="154" customFormat="1" ht="43.5" customHeight="1">
      <c r="A108" s="153"/>
      <c r="B108" s="153"/>
      <c r="C108" s="153"/>
      <c r="D108" s="412" t="s">
        <v>661</v>
      </c>
      <c r="E108" s="412" t="s">
        <v>662</v>
      </c>
      <c r="F108" s="412" t="s">
        <v>663</v>
      </c>
      <c r="G108" s="417" t="s">
        <v>664</v>
      </c>
      <c r="H108" s="281">
        <f>L108+I108</f>
        <v>55000</v>
      </c>
      <c r="I108" s="414">
        <f>35000+20000</f>
        <v>55000</v>
      </c>
      <c r="J108" s="283"/>
      <c r="K108" s="283"/>
      <c r="L108" s="368"/>
      <c r="M108" s="281">
        <f>O108+R108</f>
        <v>0</v>
      </c>
      <c r="N108" s="281"/>
      <c r="O108" s="283"/>
      <c r="P108" s="283"/>
      <c r="Q108" s="283"/>
      <c r="R108" s="283"/>
      <c r="S108" s="283">
        <f>H108+M108</f>
        <v>55000</v>
      </c>
      <c r="T108" s="43">
        <f t="shared" si="28"/>
        <v>55000</v>
      </c>
      <c r="U108" s="557">
        <v>0</v>
      </c>
      <c r="V108" s="558">
        <v>0</v>
      </c>
      <c r="W108" s="638">
        <v>0</v>
      </c>
      <c r="X108" s="638">
        <f t="shared" si="22"/>
        <v>55000</v>
      </c>
    </row>
    <row r="109" spans="1:24" s="154" customFormat="1" ht="40.5" customHeight="1">
      <c r="A109" s="151">
        <v>7600000</v>
      </c>
      <c r="B109" s="153"/>
      <c r="C109" s="153"/>
      <c r="D109" s="278" t="s">
        <v>568</v>
      </c>
      <c r="E109" s="278"/>
      <c r="F109" s="278"/>
      <c r="G109" s="279" t="s">
        <v>256</v>
      </c>
      <c r="H109" s="280">
        <f>H110</f>
        <v>43004137</v>
      </c>
      <c r="I109" s="280">
        <f aca="true" t="shared" si="37" ref="I109:S109">I110</f>
        <v>42776237</v>
      </c>
      <c r="J109" s="280">
        <f t="shared" si="37"/>
        <v>0</v>
      </c>
      <c r="K109" s="280">
        <f t="shared" si="37"/>
        <v>0</v>
      </c>
      <c r="L109" s="280">
        <f t="shared" si="37"/>
        <v>27900</v>
      </c>
      <c r="M109" s="280">
        <f t="shared" si="37"/>
        <v>1736004</v>
      </c>
      <c r="N109" s="280">
        <f>N110</f>
        <v>1191104</v>
      </c>
      <c r="O109" s="280">
        <f t="shared" si="37"/>
        <v>544900</v>
      </c>
      <c r="P109" s="280">
        <f t="shared" si="37"/>
        <v>0</v>
      </c>
      <c r="Q109" s="280">
        <f t="shared" si="37"/>
        <v>0</v>
      </c>
      <c r="R109" s="280">
        <f t="shared" si="37"/>
        <v>1191104</v>
      </c>
      <c r="S109" s="280">
        <f t="shared" si="37"/>
        <v>44740141</v>
      </c>
      <c r="T109" s="43">
        <f t="shared" si="28"/>
        <v>44740141</v>
      </c>
      <c r="U109" s="557">
        <v>39385153</v>
      </c>
      <c r="V109" s="559">
        <v>1534162</v>
      </c>
      <c r="W109" s="638">
        <v>40919315</v>
      </c>
      <c r="X109" s="638">
        <f t="shared" si="22"/>
        <v>3820826</v>
      </c>
    </row>
    <row r="110" spans="1:24" s="152" customFormat="1" ht="36.75" customHeight="1">
      <c r="A110" s="151" t="s">
        <v>10</v>
      </c>
      <c r="B110" s="151"/>
      <c r="C110" s="151"/>
      <c r="D110" s="278" t="s">
        <v>569</v>
      </c>
      <c r="E110" s="278"/>
      <c r="F110" s="278"/>
      <c r="G110" s="279" t="s">
        <v>256</v>
      </c>
      <c r="H110" s="280">
        <f>SUM(H112:H117)</f>
        <v>43004137</v>
      </c>
      <c r="I110" s="280">
        <f aca="true" t="shared" si="38" ref="I110:R110">SUM(I112:I117)</f>
        <v>42776237</v>
      </c>
      <c r="J110" s="280">
        <f t="shared" si="38"/>
        <v>0</v>
      </c>
      <c r="K110" s="280">
        <f t="shared" si="38"/>
        <v>0</v>
      </c>
      <c r="L110" s="280">
        <f t="shared" si="38"/>
        <v>27900</v>
      </c>
      <c r="M110" s="280">
        <f t="shared" si="38"/>
        <v>1736004</v>
      </c>
      <c r="N110" s="280">
        <f t="shared" si="38"/>
        <v>1191104</v>
      </c>
      <c r="O110" s="280">
        <f t="shared" si="38"/>
        <v>544900</v>
      </c>
      <c r="P110" s="280">
        <f t="shared" si="38"/>
        <v>0</v>
      </c>
      <c r="Q110" s="280">
        <f t="shared" si="38"/>
        <v>0</v>
      </c>
      <c r="R110" s="280">
        <f t="shared" si="38"/>
        <v>1191104</v>
      </c>
      <c r="S110" s="280">
        <f>SUM(S112:S117)</f>
        <v>44740141</v>
      </c>
      <c r="T110" s="43">
        <f t="shared" si="28"/>
        <v>44740141</v>
      </c>
      <c r="U110" s="557">
        <v>39385153</v>
      </c>
      <c r="V110" s="559">
        <v>1534162</v>
      </c>
      <c r="W110" s="638">
        <v>40919315</v>
      </c>
      <c r="X110" s="638">
        <f t="shared" si="22"/>
        <v>3820826</v>
      </c>
    </row>
    <row r="111" spans="1:24" s="154" customFormat="1" ht="36.75" customHeight="1" hidden="1">
      <c r="A111" s="153"/>
      <c r="B111" s="153"/>
      <c r="C111" s="153"/>
      <c r="D111" s="412" t="s">
        <v>747</v>
      </c>
      <c r="E111" s="412" t="s">
        <v>748</v>
      </c>
      <c r="F111" s="412" t="s">
        <v>194</v>
      </c>
      <c r="G111" s="413" t="s">
        <v>749</v>
      </c>
      <c r="H111" s="414"/>
      <c r="I111" s="414"/>
      <c r="J111" s="414"/>
      <c r="K111" s="414"/>
      <c r="L111" s="414"/>
      <c r="M111" s="414"/>
      <c r="N111" s="414"/>
      <c r="O111" s="414"/>
      <c r="P111" s="414"/>
      <c r="Q111" s="414"/>
      <c r="R111" s="414"/>
      <c r="S111" s="414"/>
      <c r="U111" s="631"/>
      <c r="V111" s="632"/>
      <c r="W111" s="638">
        <v>0</v>
      </c>
      <c r="X111" s="638">
        <f t="shared" si="22"/>
        <v>0</v>
      </c>
    </row>
    <row r="112" spans="1:24" s="154" customFormat="1" ht="32.25" customHeight="1">
      <c r="A112" s="153" t="s">
        <v>193</v>
      </c>
      <c r="B112" s="153">
        <v>8010</v>
      </c>
      <c r="C112" s="153" t="s">
        <v>474</v>
      </c>
      <c r="D112" s="412" t="s">
        <v>517</v>
      </c>
      <c r="E112" s="412" t="s">
        <v>518</v>
      </c>
      <c r="F112" s="412" t="s">
        <v>474</v>
      </c>
      <c r="G112" s="413" t="s">
        <v>873</v>
      </c>
      <c r="H112" s="281">
        <f>250000-50000</f>
        <v>200000</v>
      </c>
      <c r="I112" s="282"/>
      <c r="J112" s="282">
        <v>0</v>
      </c>
      <c r="K112" s="282">
        <v>0</v>
      </c>
      <c r="L112" s="282"/>
      <c r="M112" s="281">
        <f aca="true" t="shared" si="39" ref="M112:M117">O112+R112</f>
        <v>0</v>
      </c>
      <c r="N112" s="282"/>
      <c r="O112" s="282">
        <v>0</v>
      </c>
      <c r="P112" s="282">
        <v>0</v>
      </c>
      <c r="Q112" s="282">
        <v>0</v>
      </c>
      <c r="R112" s="282">
        <v>0</v>
      </c>
      <c r="S112" s="283">
        <f aca="true" t="shared" si="40" ref="S112:S117">H112+M112</f>
        <v>200000</v>
      </c>
      <c r="T112" s="43">
        <f t="shared" si="28"/>
        <v>200000</v>
      </c>
      <c r="U112" s="557">
        <v>200000</v>
      </c>
      <c r="V112" s="558">
        <v>0</v>
      </c>
      <c r="W112" s="638">
        <v>200000</v>
      </c>
      <c r="X112" s="638">
        <f t="shared" si="22"/>
        <v>0</v>
      </c>
    </row>
    <row r="113" spans="1:24" s="637" customFormat="1" ht="75.75" customHeight="1">
      <c r="A113" s="633"/>
      <c r="B113" s="633"/>
      <c r="C113" s="633"/>
      <c r="D113" s="412" t="s">
        <v>745</v>
      </c>
      <c r="E113" s="412" t="s">
        <v>746</v>
      </c>
      <c r="F113" s="412" t="s">
        <v>194</v>
      </c>
      <c r="G113" s="413" t="s">
        <v>877</v>
      </c>
      <c r="H113" s="283">
        <f>L113+I113</f>
        <v>79000</v>
      </c>
      <c r="I113" s="414">
        <v>51100</v>
      </c>
      <c r="J113" s="414"/>
      <c r="K113" s="414"/>
      <c r="L113" s="414">
        <v>27900</v>
      </c>
      <c r="M113" s="283">
        <f t="shared" si="39"/>
        <v>0</v>
      </c>
      <c r="N113" s="414"/>
      <c r="O113" s="414"/>
      <c r="P113" s="414"/>
      <c r="Q113" s="414"/>
      <c r="R113" s="414"/>
      <c r="S113" s="283">
        <f t="shared" si="40"/>
        <v>79000</v>
      </c>
      <c r="T113" s="634"/>
      <c r="U113" s="635"/>
      <c r="V113" s="636">
        <v>0</v>
      </c>
      <c r="W113" s="638">
        <v>0</v>
      </c>
      <c r="X113" s="638">
        <f t="shared" si="22"/>
        <v>79000</v>
      </c>
    </row>
    <row r="114" spans="1:24" s="154" customFormat="1" ht="57" customHeight="1" hidden="1">
      <c r="A114" s="153"/>
      <c r="B114" s="153"/>
      <c r="C114" s="153"/>
      <c r="D114" s="412" t="s">
        <v>2</v>
      </c>
      <c r="E114" s="412" t="s">
        <v>3</v>
      </c>
      <c r="F114" s="412" t="s">
        <v>194</v>
      </c>
      <c r="G114" s="413" t="s">
        <v>6</v>
      </c>
      <c r="H114" s="281">
        <f>L114+I114</f>
        <v>0</v>
      </c>
      <c r="I114" s="282"/>
      <c r="J114" s="282"/>
      <c r="K114" s="282"/>
      <c r="L114" s="282"/>
      <c r="M114" s="281">
        <f t="shared" si="39"/>
        <v>0</v>
      </c>
      <c r="N114" s="282"/>
      <c r="O114" s="282"/>
      <c r="P114" s="282"/>
      <c r="Q114" s="282"/>
      <c r="R114" s="282"/>
      <c r="S114" s="283">
        <f t="shared" si="40"/>
        <v>0</v>
      </c>
      <c r="T114" s="43"/>
      <c r="U114" s="557"/>
      <c r="V114" s="558">
        <v>0</v>
      </c>
      <c r="W114" s="638">
        <v>0</v>
      </c>
      <c r="X114" s="638">
        <f t="shared" si="22"/>
        <v>0</v>
      </c>
    </row>
    <row r="115" spans="1:24" s="26" customFormat="1" ht="42.75" customHeight="1">
      <c r="A115" s="51"/>
      <c r="B115" s="51"/>
      <c r="C115" s="51"/>
      <c r="D115" s="410" t="s">
        <v>798</v>
      </c>
      <c r="E115" s="410" t="s">
        <v>799</v>
      </c>
      <c r="F115" s="410" t="s">
        <v>194</v>
      </c>
      <c r="G115" s="411" t="s">
        <v>248</v>
      </c>
      <c r="H115" s="281">
        <f>L115+I115</f>
        <v>0</v>
      </c>
      <c r="I115" s="282"/>
      <c r="J115" s="282"/>
      <c r="K115" s="282"/>
      <c r="L115" s="282"/>
      <c r="M115" s="281">
        <f t="shared" si="39"/>
        <v>11000</v>
      </c>
      <c r="N115" s="282">
        <v>11000</v>
      </c>
      <c r="O115" s="282"/>
      <c r="P115" s="282"/>
      <c r="Q115" s="282"/>
      <c r="R115" s="282">
        <v>11000</v>
      </c>
      <c r="S115" s="281">
        <f t="shared" si="40"/>
        <v>11000</v>
      </c>
      <c r="T115" s="43"/>
      <c r="U115" s="557"/>
      <c r="V115" s="673"/>
      <c r="W115" s="674"/>
      <c r="X115" s="674">
        <f t="shared" si="22"/>
        <v>11000</v>
      </c>
    </row>
    <row r="116" spans="1:24" s="25" customFormat="1" ht="31.5" customHeight="1">
      <c r="A116" s="199" t="s">
        <v>195</v>
      </c>
      <c r="B116" s="51">
        <v>8800</v>
      </c>
      <c r="C116" s="51" t="s">
        <v>194</v>
      </c>
      <c r="D116" s="415">
        <v>3719770</v>
      </c>
      <c r="E116" s="412" t="s">
        <v>519</v>
      </c>
      <c r="F116" s="412" t="s">
        <v>194</v>
      </c>
      <c r="G116" s="416" t="s">
        <v>520</v>
      </c>
      <c r="H116" s="281">
        <f>L116+I116</f>
        <v>40024335</v>
      </c>
      <c r="I116" s="282">
        <f>39842187+182148</f>
        <v>40024335</v>
      </c>
      <c r="J116" s="282">
        <v>0</v>
      </c>
      <c r="K116" s="282">
        <v>0</v>
      </c>
      <c r="L116" s="282">
        <v>0</v>
      </c>
      <c r="M116" s="281">
        <f t="shared" si="39"/>
        <v>1620900</v>
      </c>
      <c r="N116" s="282">
        <f>784000+292000</f>
        <v>1076000</v>
      </c>
      <c r="O116" s="282">
        <v>544900</v>
      </c>
      <c r="P116" s="282">
        <v>0</v>
      </c>
      <c r="Q116" s="282">
        <v>0</v>
      </c>
      <c r="R116" s="282">
        <f>784000+292000</f>
        <v>1076000</v>
      </c>
      <c r="S116" s="283">
        <f t="shared" si="40"/>
        <v>41645235</v>
      </c>
      <c r="T116" s="43">
        <f t="shared" si="28"/>
        <v>41645235</v>
      </c>
      <c r="U116" s="557">
        <v>39185153</v>
      </c>
      <c r="V116" s="558">
        <v>441609</v>
      </c>
      <c r="W116" s="638">
        <v>39626762</v>
      </c>
      <c r="X116" s="638">
        <f t="shared" si="22"/>
        <v>2018473</v>
      </c>
    </row>
    <row r="117" spans="1:24" s="26" customFormat="1" ht="55.5" customHeight="1">
      <c r="A117" s="198" t="s">
        <v>997</v>
      </c>
      <c r="B117" s="198">
        <v>8370</v>
      </c>
      <c r="C117" s="136" t="s">
        <v>194</v>
      </c>
      <c r="D117" s="415">
        <v>3719800</v>
      </c>
      <c r="E117" s="415">
        <v>9800</v>
      </c>
      <c r="F117" s="412" t="s">
        <v>194</v>
      </c>
      <c r="G117" s="413" t="s">
        <v>531</v>
      </c>
      <c r="H117" s="281">
        <f>L117+I117</f>
        <v>2700802</v>
      </c>
      <c r="I117" s="282">
        <f>1447999+1252803</f>
        <v>2700802</v>
      </c>
      <c r="J117" s="282"/>
      <c r="K117" s="282">
        <v>0</v>
      </c>
      <c r="L117" s="371"/>
      <c r="M117" s="281">
        <f t="shared" si="39"/>
        <v>104104</v>
      </c>
      <c r="N117" s="282">
        <f>79104+25000</f>
        <v>104104</v>
      </c>
      <c r="O117" s="282"/>
      <c r="P117" s="282">
        <v>0</v>
      </c>
      <c r="Q117" s="282">
        <v>0</v>
      </c>
      <c r="R117" s="282">
        <f>79104+25000</f>
        <v>104104</v>
      </c>
      <c r="S117" s="283">
        <f t="shared" si="40"/>
        <v>2804906</v>
      </c>
      <c r="T117" s="43">
        <f t="shared" si="28"/>
        <v>2804906</v>
      </c>
      <c r="U117" s="557"/>
      <c r="V117" s="558">
        <v>1092553</v>
      </c>
      <c r="W117" s="638">
        <v>1092553</v>
      </c>
      <c r="X117" s="638">
        <f t="shared" si="22"/>
        <v>1712353</v>
      </c>
    </row>
    <row r="118" spans="1:24" s="152" customFormat="1" ht="34.5" customHeight="1">
      <c r="A118" s="254"/>
      <c r="B118" s="254"/>
      <c r="C118" s="254"/>
      <c r="D118" s="289" t="s">
        <v>980</v>
      </c>
      <c r="E118" s="289" t="s">
        <v>980</v>
      </c>
      <c r="F118" s="289" t="s">
        <v>980</v>
      </c>
      <c r="G118" s="290" t="s">
        <v>978</v>
      </c>
      <c r="H118" s="281">
        <f aca="true" t="shared" si="41" ref="H118:S118">H12+H18+H36+H47+H80+H83+H92+H101+H105+H109+H98</f>
        <v>416287298.88</v>
      </c>
      <c r="I118" s="281">
        <f t="shared" si="41"/>
        <v>415909398.88</v>
      </c>
      <c r="J118" s="281">
        <f t="shared" si="41"/>
        <v>102929783.5</v>
      </c>
      <c r="K118" s="281">
        <f t="shared" si="41"/>
        <v>11356494</v>
      </c>
      <c r="L118" s="281">
        <f t="shared" si="41"/>
        <v>177900</v>
      </c>
      <c r="M118" s="281">
        <f t="shared" si="41"/>
        <v>14225268</v>
      </c>
      <c r="N118" s="281">
        <f t="shared" si="41"/>
        <v>12037561</v>
      </c>
      <c r="O118" s="281">
        <f t="shared" si="41"/>
        <v>2187707</v>
      </c>
      <c r="P118" s="281">
        <f t="shared" si="41"/>
        <v>238527</v>
      </c>
      <c r="Q118" s="281">
        <f t="shared" si="41"/>
        <v>5500</v>
      </c>
      <c r="R118" s="281">
        <f t="shared" si="41"/>
        <v>12037561</v>
      </c>
      <c r="S118" s="281">
        <f t="shared" si="41"/>
        <v>430512566.88</v>
      </c>
      <c r="T118" s="43">
        <f t="shared" si="28"/>
        <v>430512566.88</v>
      </c>
      <c r="U118" s="557">
        <v>421739812</v>
      </c>
      <c r="V118" s="558">
        <v>18329745.830000043</v>
      </c>
      <c r="W118" s="638">
        <v>440069557.83000004</v>
      </c>
      <c r="X118" s="638">
        <f t="shared" si="22"/>
        <v>-9556990.950000048</v>
      </c>
    </row>
    <row r="119" spans="1:22" s="156" customFormat="1" ht="19.5" customHeight="1">
      <c r="A119" s="255"/>
      <c r="B119" s="255"/>
      <c r="C119" s="255"/>
      <c r="D119" s="146"/>
      <c r="E119" s="146"/>
      <c r="F119" s="146"/>
      <c r="G119" s="258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177"/>
      <c r="T119" s="43"/>
      <c r="U119" s="554"/>
      <c r="V119" s="560"/>
    </row>
    <row r="120" spans="1:22" s="156" customFormat="1" ht="18" customHeight="1">
      <c r="A120" s="255"/>
      <c r="B120" s="255"/>
      <c r="C120" s="255"/>
      <c r="D120" s="146"/>
      <c r="E120" s="146"/>
      <c r="F120" s="146"/>
      <c r="G120" s="378" t="s">
        <v>822</v>
      </c>
      <c r="H120" s="379"/>
      <c r="I120" s="379"/>
      <c r="J120" s="379"/>
      <c r="K120" s="379"/>
      <c r="L120" s="380" t="s">
        <v>208</v>
      </c>
      <c r="M120" s="222"/>
      <c r="N120" s="222"/>
      <c r="O120" s="222"/>
      <c r="P120" s="63"/>
      <c r="Q120" s="222"/>
      <c r="R120" s="65"/>
      <c r="S120" s="177"/>
      <c r="T120" s="43">
        <f>I120+M120</f>
        <v>0</v>
      </c>
      <c r="U120" s="554"/>
      <c r="V120" s="554"/>
    </row>
    <row r="121" spans="1:22" s="156" customFormat="1" ht="15.75" customHeight="1">
      <c r="A121" s="255"/>
      <c r="B121" s="255"/>
      <c r="C121" s="255"/>
      <c r="D121" s="146"/>
      <c r="E121" s="146"/>
      <c r="F121" s="146"/>
      <c r="G121" s="258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U121" s="554"/>
      <c r="V121" s="554"/>
    </row>
    <row r="122" spans="1:22" s="156" customFormat="1" ht="15.75" customHeight="1">
      <c r="A122" s="255"/>
      <c r="B122" s="255"/>
      <c r="C122" s="255"/>
      <c r="D122" s="146"/>
      <c r="E122" s="146"/>
      <c r="F122" s="146"/>
      <c r="G122" s="258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U122" s="554"/>
      <c r="V122" s="554"/>
    </row>
    <row r="123" spans="1:19" ht="15.75" customHeight="1">
      <c r="A123" s="256"/>
      <c r="B123" s="256"/>
      <c r="C123" s="256"/>
      <c r="D123" s="146"/>
      <c r="E123" s="146"/>
      <c r="F123" s="146"/>
      <c r="G123" s="42" t="s">
        <v>28</v>
      </c>
      <c r="H123" s="537">
        <f>H118-H124</f>
        <v>416287298.88</v>
      </c>
      <c r="I123" s="537">
        <f aca="true" t="shared" si="42" ref="I123:S123">I118-I124</f>
        <v>415909398.88</v>
      </c>
      <c r="J123" s="537">
        <f t="shared" si="42"/>
        <v>102929783.5</v>
      </c>
      <c r="K123" s="537">
        <f t="shared" si="42"/>
        <v>11356494</v>
      </c>
      <c r="L123" s="537">
        <f t="shared" si="42"/>
        <v>177900</v>
      </c>
      <c r="M123" s="537">
        <f aca="true" t="shared" si="43" ref="M123:R123">M118-M124</f>
        <v>14225268</v>
      </c>
      <c r="N123" s="537">
        <f t="shared" si="43"/>
        <v>12037561</v>
      </c>
      <c r="O123" s="537">
        <f t="shared" si="43"/>
        <v>2187707</v>
      </c>
      <c r="P123" s="537">
        <f t="shared" si="43"/>
        <v>238527</v>
      </c>
      <c r="Q123" s="537">
        <f t="shared" si="43"/>
        <v>5500</v>
      </c>
      <c r="R123" s="537">
        <f t="shared" si="43"/>
        <v>12037561</v>
      </c>
      <c r="S123" s="537">
        <f t="shared" si="42"/>
        <v>430512566.88</v>
      </c>
    </row>
    <row r="124" spans="1:19" ht="15.75" customHeight="1">
      <c r="A124" s="256"/>
      <c r="B124" s="256"/>
      <c r="C124" s="256"/>
      <c r="D124" s="146"/>
      <c r="E124" s="146"/>
      <c r="F124" s="146"/>
      <c r="G124" s="258" t="s">
        <v>751</v>
      </c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</row>
    <row r="125" spans="1:23" ht="15.75" customHeight="1">
      <c r="A125" s="256"/>
      <c r="B125" s="256"/>
      <c r="C125" s="256"/>
      <c r="D125" s="146"/>
      <c r="E125" s="146"/>
      <c r="F125" s="146"/>
      <c r="G125" s="258" t="s">
        <v>171</v>
      </c>
      <c r="H125" s="195">
        <f>H118-H126</f>
        <v>2665854.350000024</v>
      </c>
      <c r="I125" s="195">
        <f aca="true" t="shared" si="44" ref="I125:W125">I118-I126</f>
        <v>2665854.350000024</v>
      </c>
      <c r="J125" s="195">
        <f t="shared" si="44"/>
        <v>364578.5</v>
      </c>
      <c r="K125" s="195">
        <f t="shared" si="44"/>
        <v>0</v>
      </c>
      <c r="L125" s="195">
        <f t="shared" si="44"/>
        <v>0</v>
      </c>
      <c r="M125" s="195">
        <f t="shared" si="44"/>
        <v>1656127</v>
      </c>
      <c r="N125" s="195">
        <f t="shared" si="44"/>
        <v>1111227</v>
      </c>
      <c r="O125" s="195">
        <f t="shared" si="44"/>
        <v>544900</v>
      </c>
      <c r="P125" s="195">
        <f t="shared" si="44"/>
        <v>0</v>
      </c>
      <c r="Q125" s="195">
        <f t="shared" si="44"/>
        <v>0</v>
      </c>
      <c r="R125" s="195">
        <f t="shared" si="44"/>
        <v>1111227</v>
      </c>
      <c r="S125" s="195">
        <f t="shared" si="44"/>
        <v>4321981.350000024</v>
      </c>
      <c r="T125" s="195">
        <f t="shared" si="44"/>
        <v>430512566.88</v>
      </c>
      <c r="U125" s="195">
        <f t="shared" si="44"/>
        <v>421739812</v>
      </c>
      <c r="V125" s="195">
        <f t="shared" si="44"/>
        <v>18329745.830000043</v>
      </c>
      <c r="W125" s="195">
        <f t="shared" si="44"/>
        <v>440069557.83000004</v>
      </c>
    </row>
    <row r="126" spans="1:19" ht="15.75" customHeight="1">
      <c r="A126" s="256"/>
      <c r="B126" s="256"/>
      <c r="C126" s="256"/>
      <c r="D126" s="146"/>
      <c r="E126" s="146"/>
      <c r="F126" s="146"/>
      <c r="G126" s="258" t="s">
        <v>752</v>
      </c>
      <c r="H126" s="195">
        <v>413621444.53</v>
      </c>
      <c r="I126" s="195">
        <v>413243544.53</v>
      </c>
      <c r="J126" s="195">
        <v>102565205</v>
      </c>
      <c r="K126" s="195">
        <v>11356494</v>
      </c>
      <c r="L126" s="195">
        <v>177900</v>
      </c>
      <c r="M126" s="195">
        <v>12569141</v>
      </c>
      <c r="N126" s="195">
        <v>10926334</v>
      </c>
      <c r="O126" s="195">
        <v>1642807</v>
      </c>
      <c r="P126" s="195">
        <v>238527</v>
      </c>
      <c r="Q126" s="195">
        <v>5500</v>
      </c>
      <c r="R126" s="195">
        <v>10926334</v>
      </c>
      <c r="S126" s="195">
        <v>426190585.53</v>
      </c>
    </row>
    <row r="127" spans="1:19" ht="15.75" customHeight="1">
      <c r="A127" s="256"/>
      <c r="B127" s="256"/>
      <c r="C127" s="256"/>
      <c r="D127" s="146"/>
      <c r="E127" s="146"/>
      <c r="F127" s="146"/>
      <c r="G127" s="258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</row>
    <row r="128" spans="1:20" ht="15.75" customHeight="1">
      <c r="A128" s="266"/>
      <c r="B128" s="266"/>
      <c r="C128" s="267"/>
      <c r="D128" s="268"/>
      <c r="E128" s="268"/>
      <c r="F128" s="269"/>
      <c r="G128" s="270"/>
      <c r="H128" s="642"/>
      <c r="I128" s="642"/>
      <c r="J128" s="642"/>
      <c r="K128" s="642"/>
      <c r="M128" s="642"/>
      <c r="N128" s="642"/>
      <c r="R128" s="642"/>
      <c r="S128" s="642"/>
      <c r="T128" s="178"/>
    </row>
    <row r="129" spans="1:20" ht="15.75" customHeight="1">
      <c r="A129" s="271"/>
      <c r="B129" s="272"/>
      <c r="C129" s="272"/>
      <c r="D129" s="268"/>
      <c r="E129" s="269"/>
      <c r="F129" s="269"/>
      <c r="G129" s="270"/>
      <c r="H129" s="38"/>
      <c r="I129" s="65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178"/>
    </row>
    <row r="130" spans="1:20" ht="15.75" customHeight="1">
      <c r="A130" s="256"/>
      <c r="B130" s="256"/>
      <c r="C130" s="256"/>
      <c r="D130" s="146"/>
      <c r="E130" s="146"/>
      <c r="F130" s="146"/>
      <c r="G130" s="270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178"/>
    </row>
    <row r="131" spans="1:20" ht="15.75" customHeight="1">
      <c r="A131" s="256"/>
      <c r="B131" s="256"/>
      <c r="C131" s="256"/>
      <c r="D131" s="146"/>
      <c r="E131" s="146"/>
      <c r="F131" s="146"/>
      <c r="G131" s="270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178"/>
    </row>
    <row r="132" spans="1:20" ht="15.75" customHeight="1">
      <c r="A132" s="256"/>
      <c r="B132" s="256"/>
      <c r="C132" s="256"/>
      <c r="D132" s="146"/>
      <c r="E132" s="146"/>
      <c r="F132" s="146"/>
      <c r="G132" s="270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178"/>
    </row>
    <row r="133" spans="1:22" s="70" customFormat="1" ht="15.75" customHeight="1">
      <c r="A133" s="257"/>
      <c r="B133" s="257"/>
      <c r="C133" s="257"/>
      <c r="D133" s="146"/>
      <c r="E133" s="259"/>
      <c r="F133" s="259"/>
      <c r="G133" s="647"/>
      <c r="H133" s="648"/>
      <c r="I133" s="648"/>
      <c r="J133" s="648"/>
      <c r="K133" s="648"/>
      <c r="L133" s="648"/>
      <c r="M133" s="648"/>
      <c r="N133" s="648"/>
      <c r="O133" s="648"/>
      <c r="P133" s="648"/>
      <c r="Q133" s="648"/>
      <c r="R133" s="648"/>
      <c r="S133" s="648"/>
      <c r="T133" s="179"/>
      <c r="U133" s="555"/>
      <c r="V133" s="555"/>
    </row>
    <row r="134" spans="1:19" ht="15.75" customHeight="1">
      <c r="A134" s="256"/>
      <c r="B134" s="256"/>
      <c r="C134" s="256"/>
      <c r="D134" s="146"/>
      <c r="E134" s="146"/>
      <c r="F134" s="146"/>
      <c r="G134" s="647"/>
      <c r="H134" s="649"/>
      <c r="I134" s="649"/>
      <c r="J134" s="649"/>
      <c r="K134" s="649"/>
      <c r="L134" s="649"/>
      <c r="M134" s="649"/>
      <c r="N134" s="649"/>
      <c r="O134" s="649"/>
      <c r="P134" s="649"/>
      <c r="Q134" s="649"/>
      <c r="R134" s="649"/>
      <c r="S134" s="649"/>
    </row>
    <row r="135" spans="1:19" ht="15.75" customHeight="1">
      <c r="A135" s="256"/>
      <c r="B135" s="256"/>
      <c r="C135" s="256"/>
      <c r="D135" s="146"/>
      <c r="E135" s="52"/>
      <c r="F135" s="52"/>
      <c r="G135" s="53"/>
      <c r="H135" s="641"/>
      <c r="I135" s="641"/>
      <c r="J135" s="641"/>
      <c r="K135" s="641"/>
      <c r="L135" s="641"/>
      <c r="M135" s="641"/>
      <c r="N135" s="641"/>
      <c r="O135" s="641"/>
      <c r="P135" s="641"/>
      <c r="Q135" s="641"/>
      <c r="R135" s="641"/>
      <c r="S135" s="641"/>
    </row>
    <row r="136" spans="1:19" ht="15.75" customHeight="1">
      <c r="A136" s="256"/>
      <c r="B136" s="256"/>
      <c r="C136" s="256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</row>
    <row r="137" spans="1:19" ht="15.75" customHeight="1">
      <c r="A137" s="256"/>
      <c r="B137" s="256"/>
      <c r="C137" s="256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</row>
    <row r="138" spans="1:19" ht="15.75" customHeight="1">
      <c r="A138" s="256"/>
      <c r="B138" s="256"/>
      <c r="C138" s="256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</row>
    <row r="139" spans="1:19" ht="15.75" customHeight="1">
      <c r="A139" s="256"/>
      <c r="B139" s="256"/>
      <c r="C139" s="256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</row>
    <row r="140" spans="1:19" ht="15.75" customHeight="1">
      <c r="A140" s="256"/>
      <c r="B140" s="256"/>
      <c r="C140" s="256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</row>
    <row r="141" spans="1:19" ht="15.75" customHeight="1">
      <c r="A141" s="256"/>
      <c r="B141" s="256"/>
      <c r="C141" s="256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</row>
    <row r="142" spans="1:19" ht="15.75" customHeight="1">
      <c r="A142" s="256"/>
      <c r="B142" s="256"/>
      <c r="C142" s="256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</row>
    <row r="143" spans="1:19" ht="15.75" customHeight="1">
      <c r="A143" s="256"/>
      <c r="B143" s="256"/>
      <c r="C143" s="256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</row>
    <row r="144" spans="1:19" ht="15.75" customHeight="1">
      <c r="A144" s="256"/>
      <c r="B144" s="256"/>
      <c r="C144" s="256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</row>
    <row r="145" spans="1:19" ht="15.75" customHeight="1">
      <c r="A145" s="256"/>
      <c r="B145" s="256"/>
      <c r="C145" s="256"/>
      <c r="H145" s="38"/>
      <c r="I145" s="65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 ht="15.75" customHeight="1">
      <c r="A146" s="256"/>
      <c r="B146" s="256"/>
      <c r="C146" s="256"/>
      <c r="H146" s="38"/>
      <c r="I146" s="65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 ht="15.75" customHeight="1">
      <c r="A147" s="256"/>
      <c r="B147" s="256"/>
      <c r="C147" s="256"/>
      <c r="H147" s="38"/>
      <c r="I147" s="65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1:19" ht="15.75" customHeight="1">
      <c r="A148" s="256"/>
      <c r="B148" s="256"/>
      <c r="C148" s="256"/>
      <c r="H148" s="38"/>
      <c r="I148" s="65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1:19" ht="15.75" customHeight="1">
      <c r="A149" s="256"/>
      <c r="B149" s="256"/>
      <c r="C149" s="256"/>
      <c r="H149" s="38"/>
      <c r="I149" s="65"/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 spans="1:19" ht="15.75" customHeight="1">
      <c r="A150" s="256"/>
      <c r="B150" s="256"/>
      <c r="C150" s="256"/>
      <c r="H150" s="38"/>
      <c r="I150" s="65"/>
      <c r="J150" s="38"/>
      <c r="K150" s="38"/>
      <c r="L150" s="38"/>
      <c r="M150" s="38"/>
      <c r="N150" s="38"/>
      <c r="O150" s="38"/>
      <c r="P150" s="38"/>
      <c r="Q150" s="38"/>
      <c r="R150" s="38"/>
      <c r="S150" s="38"/>
    </row>
    <row r="151" spans="1:19" ht="15.75" customHeight="1">
      <c r="A151" s="256"/>
      <c r="B151" s="256"/>
      <c r="C151" s="256"/>
      <c r="H151" s="38"/>
      <c r="I151" s="65"/>
      <c r="J151" s="38"/>
      <c r="K151" s="38"/>
      <c r="L151" s="38"/>
      <c r="M151" s="38"/>
      <c r="N151" s="38"/>
      <c r="O151" s="38"/>
      <c r="P151" s="38"/>
      <c r="Q151" s="38"/>
      <c r="R151" s="38"/>
      <c r="S151" s="38"/>
    </row>
    <row r="152" spans="1:19" ht="15.75" customHeight="1">
      <c r="A152" s="256"/>
      <c r="B152" s="256"/>
      <c r="C152" s="256"/>
      <c r="H152" s="38"/>
      <c r="I152" s="65"/>
      <c r="J152" s="38"/>
      <c r="K152" s="38"/>
      <c r="L152" s="38"/>
      <c r="M152" s="38"/>
      <c r="N152" s="38"/>
      <c r="O152" s="38"/>
      <c r="P152" s="38"/>
      <c r="Q152" s="38"/>
      <c r="R152" s="38"/>
      <c r="S152" s="38"/>
    </row>
    <row r="153" spans="1:19" ht="15.75" customHeight="1">
      <c r="A153" s="256"/>
      <c r="B153" s="256"/>
      <c r="C153" s="256"/>
      <c r="H153" s="38"/>
      <c r="I153" s="65"/>
      <c r="J153" s="38"/>
      <c r="K153" s="38"/>
      <c r="L153" s="38"/>
      <c r="M153" s="38"/>
      <c r="N153" s="38"/>
      <c r="O153" s="38"/>
      <c r="P153" s="38"/>
      <c r="Q153" s="38"/>
      <c r="R153" s="38"/>
      <c r="S153" s="38"/>
    </row>
    <row r="154" spans="1:19" ht="15.75" customHeight="1">
      <c r="A154" s="256"/>
      <c r="B154" s="256"/>
      <c r="C154" s="256"/>
      <c r="H154" s="38"/>
      <c r="I154" s="65"/>
      <c r="J154" s="38"/>
      <c r="K154" s="38"/>
      <c r="L154" s="38"/>
      <c r="M154" s="38"/>
      <c r="N154" s="38"/>
      <c r="O154" s="38"/>
      <c r="P154" s="38"/>
      <c r="Q154" s="38"/>
      <c r="R154" s="38"/>
      <c r="S154" s="38"/>
    </row>
    <row r="155" spans="1:19" ht="15.75" customHeight="1">
      <c r="A155" s="256"/>
      <c r="B155" s="256"/>
      <c r="C155" s="256"/>
      <c r="H155" s="38"/>
      <c r="I155" s="65"/>
      <c r="J155" s="38"/>
      <c r="K155" s="38"/>
      <c r="L155" s="38"/>
      <c r="M155" s="38"/>
      <c r="N155" s="38"/>
      <c r="O155" s="38"/>
      <c r="P155" s="38"/>
      <c r="Q155" s="38"/>
      <c r="R155" s="38"/>
      <c r="S155" s="38"/>
    </row>
    <row r="156" spans="1:19" ht="15.75" customHeight="1">
      <c r="A156" s="256"/>
      <c r="B156" s="256"/>
      <c r="C156" s="256"/>
      <c r="H156" s="38"/>
      <c r="I156" s="65"/>
      <c r="J156" s="38"/>
      <c r="K156" s="38"/>
      <c r="L156" s="38"/>
      <c r="M156" s="38"/>
      <c r="N156" s="38"/>
      <c r="O156" s="38"/>
      <c r="P156" s="38"/>
      <c r="Q156" s="38"/>
      <c r="R156" s="38"/>
      <c r="S156" s="38"/>
    </row>
    <row r="157" spans="1:19" ht="15.75" customHeight="1">
      <c r="A157" s="256"/>
      <c r="B157" s="256"/>
      <c r="C157" s="256"/>
      <c r="H157" s="38"/>
      <c r="I157" s="65"/>
      <c r="J157" s="38"/>
      <c r="K157" s="38"/>
      <c r="L157" s="38"/>
      <c r="M157" s="38"/>
      <c r="N157" s="38"/>
      <c r="O157" s="38"/>
      <c r="P157" s="38"/>
      <c r="Q157" s="38"/>
      <c r="R157" s="38"/>
      <c r="S157" s="38"/>
    </row>
    <row r="158" spans="1:19" ht="15.75" customHeight="1">
      <c r="A158" s="256"/>
      <c r="B158" s="256"/>
      <c r="C158" s="256"/>
      <c r="H158" s="38"/>
      <c r="I158" s="65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1:19" ht="15.75" customHeight="1">
      <c r="A159" s="256"/>
      <c r="B159" s="256"/>
      <c r="C159" s="256"/>
      <c r="H159" s="38"/>
      <c r="I159" s="65"/>
      <c r="J159" s="38"/>
      <c r="K159" s="38"/>
      <c r="L159" s="38"/>
      <c r="M159" s="38"/>
      <c r="N159" s="38"/>
      <c r="O159" s="38"/>
      <c r="P159" s="38"/>
      <c r="Q159" s="38"/>
      <c r="R159" s="38"/>
      <c r="S159" s="38"/>
    </row>
    <row r="160" spans="8:19" ht="15.75" customHeight="1">
      <c r="H160" s="38"/>
      <c r="I160" s="65"/>
      <c r="J160" s="38"/>
      <c r="K160" s="38"/>
      <c r="L160" s="38"/>
      <c r="M160" s="38"/>
      <c r="N160" s="38"/>
      <c r="O160" s="38"/>
      <c r="P160" s="38"/>
      <c r="Q160" s="38"/>
      <c r="R160" s="38"/>
      <c r="S160" s="38"/>
    </row>
    <row r="161" spans="8:19" ht="15.75" customHeight="1">
      <c r="H161" s="38"/>
      <c r="I161" s="65"/>
      <c r="J161" s="38"/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8:19" ht="15.75" customHeight="1">
      <c r="H162" s="38"/>
      <c r="I162" s="65"/>
      <c r="J162" s="38"/>
      <c r="K162" s="38"/>
      <c r="L162" s="38"/>
      <c r="M162" s="38"/>
      <c r="N162" s="38"/>
      <c r="O162" s="38"/>
      <c r="P162" s="38"/>
      <c r="Q162" s="38"/>
      <c r="R162" s="38"/>
      <c r="S162" s="38"/>
    </row>
  </sheetData>
  <sheetProtection/>
  <mergeCells count="18">
    <mergeCell ref="R2:S2"/>
    <mergeCell ref="D7:D10"/>
    <mergeCell ref="O8:O10"/>
    <mergeCell ref="M7:R7"/>
    <mergeCell ref="E7:E10"/>
    <mergeCell ref="G7:G10"/>
    <mergeCell ref="L8:L10"/>
    <mergeCell ref="M8:M10"/>
    <mergeCell ref="F7:F10"/>
    <mergeCell ref="H8:H10"/>
    <mergeCell ref="P8:Q9"/>
    <mergeCell ref="J8:K9"/>
    <mergeCell ref="I8:I10"/>
    <mergeCell ref="R6:S6"/>
    <mergeCell ref="S7:S10"/>
    <mergeCell ref="R8:R10"/>
    <mergeCell ref="H7:L7"/>
    <mergeCell ref="N8:N10"/>
  </mergeCells>
  <conditionalFormatting sqref="F91 B53:C56 E53:F56 F44:F45 F74:F75">
    <cfRule type="expression" priority="9" dxfId="0" stopIfTrue="1">
      <formula>LEN(B44)&gt;6</formula>
    </cfRule>
  </conditionalFormatting>
  <conditionalFormatting sqref="E55:F55">
    <cfRule type="expression" priority="1" dxfId="0" stopIfTrue="1">
      <formula>LEN(E55)&gt;6</formula>
    </cfRule>
  </conditionalFormatting>
  <printOptions horizontalCentered="1"/>
  <pageMargins left="0.1968503937007874" right="0.1968503937007874" top="0.43" bottom="0.1968503937007874" header="0.31496062992125984" footer="0.2"/>
  <pageSetup firstPageNumber="1" useFirstPageNumber="1" fitToHeight="24" horizontalDpi="300" verticalDpi="300" orientation="landscape" paperSize="9" scale="51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C56"/>
  <sheetViews>
    <sheetView showZeros="0" view="pageBreakPreview" zoomScale="55" zoomScaleNormal="55" zoomScaleSheetLayoutView="55" zoomScalePageLayoutView="0" workbookViewId="0" topLeftCell="A1">
      <pane xSplit="2" ySplit="14" topLeftCell="AJ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B1" sqref="R1:AB16384"/>
    </sheetView>
  </sheetViews>
  <sheetFormatPr defaultColWidth="9.00390625" defaultRowHeight="12.75"/>
  <cols>
    <col min="1" max="1" width="17.00390625" style="3" customWidth="1"/>
    <col min="2" max="2" width="32.125" style="3" customWidth="1"/>
    <col min="3" max="3" width="21.125" style="29" customWidth="1"/>
    <col min="4" max="4" width="23.25390625" style="29" customWidth="1"/>
    <col min="5" max="5" width="26.875" style="29" customWidth="1"/>
    <col min="6" max="6" width="77.00390625" style="29" customWidth="1"/>
    <col min="7" max="7" width="31.75390625" style="29" customWidth="1"/>
    <col min="8" max="8" width="74.00390625" style="29" customWidth="1"/>
    <col min="9" max="9" width="64.625" style="29" customWidth="1"/>
    <col min="10" max="10" width="23.25390625" style="29" customWidth="1"/>
    <col min="11" max="11" width="24.25390625" style="29" customWidth="1"/>
    <col min="12" max="12" width="27.25390625" style="29" customWidth="1"/>
    <col min="13" max="13" width="26.25390625" style="29" customWidth="1"/>
    <col min="14" max="14" width="28.625" style="29" customWidth="1"/>
    <col min="15" max="15" width="26.375" style="29" customWidth="1"/>
    <col min="16" max="17" width="18.875" style="29" customWidth="1"/>
    <col min="18" max="18" width="23.375" style="761" customWidth="1"/>
    <col min="19" max="19" width="24.875" style="761" customWidth="1"/>
    <col min="20" max="20" width="22.00390625" style="761" customWidth="1"/>
    <col min="21" max="21" width="22.25390625" style="761" customWidth="1"/>
    <col min="22" max="22" width="30.375" style="761" customWidth="1"/>
    <col min="23" max="26" width="22.25390625" style="761" customWidth="1"/>
    <col min="27" max="27" width="24.00390625" style="761" customWidth="1"/>
    <col min="28" max="28" width="24.75390625" style="761" customWidth="1"/>
    <col min="29" max="29" width="22.25390625" style="29" customWidth="1"/>
    <col min="30" max="30" width="16.75390625" style="29" customWidth="1"/>
    <col min="31" max="31" width="18.125" style="29" customWidth="1"/>
    <col min="32" max="32" width="24.625" style="29" customWidth="1"/>
    <col min="33" max="33" width="19.75390625" style="29" customWidth="1"/>
    <col min="34" max="34" width="40.125" style="29" customWidth="1"/>
    <col min="35" max="35" width="18.375" style="29" customWidth="1"/>
    <col min="36" max="36" width="17.375" style="29" customWidth="1"/>
    <col min="37" max="37" width="18.75390625" style="29" customWidth="1"/>
    <col min="38" max="38" width="23.75390625" style="29" customWidth="1"/>
    <col min="39" max="39" width="22.625" style="29" customWidth="1"/>
    <col min="40" max="40" width="25.625" style="29" customWidth="1"/>
    <col min="41" max="42" width="20.25390625" style="29" customWidth="1"/>
    <col min="43" max="43" width="24.25390625" style="29" customWidth="1"/>
    <col min="44" max="44" width="22.625" style="29" customWidth="1"/>
    <col min="45" max="45" width="20.125" style="29" customWidth="1"/>
    <col min="46" max="46" width="20.875" style="29" customWidth="1"/>
    <col min="47" max="47" width="23.875" style="29" customWidth="1"/>
    <col min="48" max="48" width="22.625" style="29" customWidth="1"/>
    <col min="49" max="49" width="19.625" style="29" customWidth="1"/>
    <col min="50" max="50" width="25.375" style="29" customWidth="1"/>
    <col min="51" max="51" width="19.75390625" style="29" customWidth="1"/>
    <col min="52" max="52" width="18.25390625" style="29" customWidth="1"/>
    <col min="53" max="53" width="19.375" style="505" customWidth="1"/>
    <col min="54" max="54" width="26.25390625" style="3" customWidth="1"/>
    <col min="55" max="55" width="29.625" style="3" customWidth="1"/>
    <col min="56" max="16384" width="9.125" style="3" customWidth="1"/>
  </cols>
  <sheetData>
    <row r="1" spans="3:55" ht="26.25" customHeight="1">
      <c r="C1" s="68"/>
      <c r="D1" s="68"/>
      <c r="E1" s="68"/>
      <c r="F1" s="675"/>
      <c r="G1" s="675"/>
      <c r="H1" s="675"/>
      <c r="I1" s="675"/>
      <c r="J1" s="888" t="s">
        <v>251</v>
      </c>
      <c r="K1" s="888"/>
      <c r="L1" s="888"/>
      <c r="M1" s="676"/>
      <c r="N1" s="675"/>
      <c r="O1" s="675"/>
      <c r="P1" s="675"/>
      <c r="Q1" s="675"/>
      <c r="R1" s="757"/>
      <c r="S1" s="757"/>
      <c r="T1" s="757"/>
      <c r="U1" s="757"/>
      <c r="V1" s="757"/>
      <c r="W1" s="757"/>
      <c r="X1" s="757"/>
      <c r="Y1" s="757"/>
      <c r="Z1" s="757"/>
      <c r="AA1" s="757"/>
      <c r="AB1" s="757"/>
      <c r="AC1" s="675"/>
      <c r="AD1" s="675"/>
      <c r="AE1" s="675"/>
      <c r="AF1" s="675"/>
      <c r="AG1" s="675"/>
      <c r="AH1" s="675"/>
      <c r="AI1" s="675"/>
      <c r="AJ1" s="882" t="s">
        <v>254</v>
      </c>
      <c r="AK1" s="882"/>
      <c r="AL1" s="882"/>
      <c r="AM1" s="676"/>
      <c r="AN1" s="676"/>
      <c r="AO1" s="676"/>
      <c r="AP1" s="676"/>
      <c r="AQ1" s="676"/>
      <c r="AR1" s="885"/>
      <c r="AS1" s="885"/>
      <c r="AT1" s="885"/>
      <c r="AU1" s="686"/>
      <c r="AV1" s="686"/>
      <c r="AW1" s="676"/>
      <c r="AX1" s="676"/>
      <c r="AY1" s="882" t="s">
        <v>637</v>
      </c>
      <c r="AZ1" s="882"/>
      <c r="BA1" s="882"/>
      <c r="BB1" s="221"/>
      <c r="BC1" s="221"/>
    </row>
    <row r="2" spans="3:54" ht="29.25" customHeight="1">
      <c r="C2" s="211"/>
      <c r="D2" s="211"/>
      <c r="E2" s="211"/>
      <c r="F2" s="211"/>
      <c r="G2" s="211"/>
      <c r="H2" s="211"/>
      <c r="I2" s="211"/>
      <c r="J2" s="901" t="s">
        <v>252</v>
      </c>
      <c r="K2" s="901"/>
      <c r="L2" s="901"/>
      <c r="M2" s="677"/>
      <c r="N2" s="677"/>
      <c r="O2" s="677"/>
      <c r="P2" s="677"/>
      <c r="Q2" s="677"/>
      <c r="R2" s="758"/>
      <c r="S2" s="758"/>
      <c r="T2" s="758"/>
      <c r="U2" s="758"/>
      <c r="V2" s="758"/>
      <c r="W2" s="758"/>
      <c r="X2" s="758"/>
      <c r="Y2" s="758"/>
      <c r="Z2" s="758"/>
      <c r="AA2" s="758"/>
      <c r="AB2" s="758"/>
      <c r="AC2" s="211"/>
      <c r="AD2" s="211"/>
      <c r="AE2" s="211"/>
      <c r="AF2" s="211"/>
      <c r="AG2" s="211"/>
      <c r="AH2" s="211"/>
      <c r="AI2" s="211"/>
      <c r="AJ2" s="883" t="s">
        <v>805</v>
      </c>
      <c r="AK2" s="883"/>
      <c r="AL2" s="883"/>
      <c r="AM2" s="677"/>
      <c r="AN2" s="677"/>
      <c r="AO2" s="677"/>
      <c r="AP2" s="677"/>
      <c r="AQ2" s="677"/>
      <c r="AR2" s="886"/>
      <c r="AS2" s="886"/>
      <c r="AT2" s="886"/>
      <c r="AU2" s="687"/>
      <c r="AV2" s="687"/>
      <c r="AW2" s="677"/>
      <c r="AX2" s="677"/>
      <c r="AY2" s="883" t="s">
        <v>805</v>
      </c>
      <c r="AZ2" s="883"/>
      <c r="BA2" s="883"/>
      <c r="BB2" s="30"/>
    </row>
    <row r="3" spans="3:54" ht="19.5" customHeight="1">
      <c r="C3" s="133"/>
      <c r="D3" s="133"/>
      <c r="E3" s="133"/>
      <c r="F3" s="133"/>
      <c r="G3" s="133"/>
      <c r="H3" s="133"/>
      <c r="I3" s="133"/>
      <c r="J3" s="902" t="s">
        <v>253</v>
      </c>
      <c r="K3" s="902"/>
      <c r="L3" s="902"/>
      <c r="M3" s="678"/>
      <c r="N3" s="678"/>
      <c r="O3" s="678"/>
      <c r="P3" s="678"/>
      <c r="Q3" s="678"/>
      <c r="R3" s="759"/>
      <c r="S3" s="759"/>
      <c r="T3" s="759"/>
      <c r="U3" s="759"/>
      <c r="V3" s="759"/>
      <c r="W3" s="759"/>
      <c r="X3" s="759"/>
      <c r="Y3" s="759"/>
      <c r="Z3" s="759"/>
      <c r="AA3" s="759"/>
      <c r="AB3" s="759"/>
      <c r="AC3" s="133"/>
      <c r="AD3" s="133"/>
      <c r="AE3" s="133"/>
      <c r="AF3" s="133"/>
      <c r="AG3" s="133"/>
      <c r="AH3" s="133"/>
      <c r="AI3" s="133"/>
      <c r="AJ3" s="884" t="s">
        <v>255</v>
      </c>
      <c r="AK3" s="884"/>
      <c r="AL3" s="884"/>
      <c r="AM3" s="678"/>
      <c r="AN3" s="678"/>
      <c r="AO3" s="678"/>
      <c r="AP3" s="678"/>
      <c r="AQ3" s="678"/>
      <c r="AR3" s="688"/>
      <c r="AS3" s="688">
        <f>'Дод.1'!A3</f>
        <v>0</v>
      </c>
      <c r="AT3" s="688"/>
      <c r="AU3" s="688"/>
      <c r="AV3" s="688"/>
      <c r="AW3" s="688"/>
      <c r="AX3" s="688"/>
      <c r="AY3" s="884" t="s">
        <v>66</v>
      </c>
      <c r="AZ3" s="884"/>
      <c r="BA3" s="884"/>
      <c r="BB3" s="30"/>
    </row>
    <row r="4" spans="3:54" ht="19.5" customHeight="1" hidden="1">
      <c r="C4" s="212"/>
      <c r="D4" s="212"/>
      <c r="E4" s="212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760"/>
      <c r="S4" s="760"/>
      <c r="T4" s="760"/>
      <c r="U4" s="760"/>
      <c r="V4" s="760"/>
      <c r="W4" s="760"/>
      <c r="X4" s="760"/>
      <c r="Y4" s="760"/>
      <c r="Z4" s="760"/>
      <c r="AA4" s="760"/>
      <c r="AB4" s="760"/>
      <c r="AC4" s="211"/>
      <c r="AD4" s="211"/>
      <c r="AE4" s="211"/>
      <c r="AF4" s="211"/>
      <c r="AG4" s="211"/>
      <c r="AH4" s="211"/>
      <c r="AI4" s="211"/>
      <c r="AJ4" s="211"/>
      <c r="AK4" s="211"/>
      <c r="AL4" s="212"/>
      <c r="AM4" s="211"/>
      <c r="AN4" s="211"/>
      <c r="AO4" s="211"/>
      <c r="AP4" s="211"/>
      <c r="AQ4" s="677"/>
      <c r="AR4" s="677"/>
      <c r="AS4" s="677"/>
      <c r="AT4" s="677"/>
      <c r="AU4" s="677"/>
      <c r="AV4" s="677"/>
      <c r="AW4" s="677"/>
      <c r="AX4" s="677"/>
      <c r="AY4" s="677"/>
      <c r="AZ4" s="677"/>
      <c r="BA4" s="213"/>
      <c r="BB4" s="30"/>
    </row>
    <row r="5" spans="1:55" ht="25.5" customHeight="1">
      <c r="A5" s="887" t="s">
        <v>753</v>
      </c>
      <c r="B5" s="887"/>
      <c r="C5" s="887"/>
      <c r="D5" s="887"/>
      <c r="E5" s="887"/>
      <c r="F5" s="887"/>
      <c r="G5" s="887"/>
      <c r="H5" s="887"/>
      <c r="I5" s="887"/>
      <c r="J5" s="887"/>
      <c r="K5" s="887"/>
      <c r="L5" s="887"/>
      <c r="M5" s="887"/>
      <c r="N5" s="887"/>
      <c r="O5" s="887"/>
      <c r="P5" s="887"/>
      <c r="Q5" s="887"/>
      <c r="R5" s="887"/>
      <c r="S5" s="887"/>
      <c r="T5" s="887"/>
      <c r="U5" s="887"/>
      <c r="V5" s="887"/>
      <c r="W5" s="887"/>
      <c r="X5" s="887"/>
      <c r="Y5" s="887"/>
      <c r="Z5" s="887"/>
      <c r="AA5" s="887"/>
      <c r="AB5" s="887"/>
      <c r="AC5" s="887"/>
      <c r="AD5" s="887"/>
      <c r="AE5" s="887"/>
      <c r="AF5" s="887"/>
      <c r="AG5" s="887"/>
      <c r="AH5" s="887"/>
      <c r="AI5" s="887"/>
      <c r="AJ5" s="887"/>
      <c r="AK5" s="887"/>
      <c r="AL5" s="887"/>
      <c r="AM5" s="887"/>
      <c r="AN5" s="887"/>
      <c r="AO5" s="887"/>
      <c r="AP5" s="887"/>
      <c r="AQ5" s="887"/>
      <c r="AR5" s="887"/>
      <c r="AS5" s="887"/>
      <c r="AT5" s="887"/>
      <c r="AU5" s="689"/>
      <c r="AV5" s="689"/>
      <c r="AW5" s="690"/>
      <c r="AX5" s="690"/>
      <c r="AY5" s="690"/>
      <c r="AZ5" s="690"/>
      <c r="BA5" s="497"/>
      <c r="BC5" s="35"/>
    </row>
    <row r="6" spans="43:55" ht="24" customHeight="1">
      <c r="AQ6" s="40"/>
      <c r="AR6" s="40"/>
      <c r="AS6" s="40"/>
      <c r="AT6" s="40"/>
      <c r="AU6" s="40"/>
      <c r="AV6" s="40"/>
      <c r="BA6" s="2" t="s">
        <v>85</v>
      </c>
      <c r="BB6" s="4"/>
      <c r="BC6" s="35"/>
    </row>
    <row r="7" spans="1:55" s="11" customFormat="1" ht="20.25" customHeight="1">
      <c r="A7" s="847" t="s">
        <v>452</v>
      </c>
      <c r="B7" s="876" t="s">
        <v>453</v>
      </c>
      <c r="C7" s="903" t="s">
        <v>448</v>
      </c>
      <c r="D7" s="903"/>
      <c r="E7" s="903"/>
      <c r="F7" s="903"/>
      <c r="G7" s="903"/>
      <c r="H7" s="903"/>
      <c r="I7" s="903"/>
      <c r="J7" s="903"/>
      <c r="K7" s="903"/>
      <c r="L7" s="903"/>
      <c r="M7" s="903"/>
      <c r="N7" s="903"/>
      <c r="O7" s="903"/>
      <c r="P7" s="903"/>
      <c r="Q7" s="903"/>
      <c r="R7" s="903"/>
      <c r="S7" s="903"/>
      <c r="T7" s="903"/>
      <c r="U7" s="903"/>
      <c r="V7" s="903"/>
      <c r="W7" s="903"/>
      <c r="X7" s="903"/>
      <c r="Y7" s="903"/>
      <c r="Z7" s="903"/>
      <c r="AA7" s="903"/>
      <c r="AB7" s="903"/>
      <c r="AC7" s="903"/>
      <c r="AD7" s="903"/>
      <c r="AE7" s="903"/>
      <c r="AF7" s="903"/>
      <c r="AG7" s="903"/>
      <c r="AH7" s="903"/>
      <c r="AI7" s="903"/>
      <c r="AJ7" s="903"/>
      <c r="AK7" s="903"/>
      <c r="AL7" s="903"/>
      <c r="AM7" s="879" t="s">
        <v>457</v>
      </c>
      <c r="AN7" s="880"/>
      <c r="AO7" s="880"/>
      <c r="AP7" s="880"/>
      <c r="AQ7" s="880"/>
      <c r="AR7" s="880"/>
      <c r="AS7" s="880"/>
      <c r="AT7" s="880"/>
      <c r="AU7" s="880"/>
      <c r="AV7" s="880"/>
      <c r="AW7" s="880"/>
      <c r="AX7" s="880"/>
      <c r="AY7" s="880"/>
      <c r="AZ7" s="881"/>
      <c r="BA7" s="875" t="s">
        <v>978</v>
      </c>
      <c r="BB7" s="31"/>
      <c r="BC7" s="36"/>
    </row>
    <row r="8" spans="1:55" s="11" customFormat="1" ht="64.5" customHeight="1">
      <c r="A8" s="848"/>
      <c r="B8" s="877"/>
      <c r="C8" s="850" t="s">
        <v>271</v>
      </c>
      <c r="D8" s="850"/>
      <c r="E8" s="851"/>
      <c r="F8" s="879" t="s">
        <v>456</v>
      </c>
      <c r="G8" s="880"/>
      <c r="H8" s="880"/>
      <c r="I8" s="880"/>
      <c r="J8" s="880"/>
      <c r="K8" s="880"/>
      <c r="L8" s="880"/>
      <c r="M8" s="880"/>
      <c r="N8" s="880"/>
      <c r="O8" s="880"/>
      <c r="P8" s="880"/>
      <c r="Q8" s="880"/>
      <c r="R8" s="880"/>
      <c r="S8" s="880"/>
      <c r="T8" s="880"/>
      <c r="U8" s="880"/>
      <c r="V8" s="880"/>
      <c r="W8" s="880"/>
      <c r="X8" s="880"/>
      <c r="Y8" s="880"/>
      <c r="Z8" s="880"/>
      <c r="AA8" s="880"/>
      <c r="AB8" s="880"/>
      <c r="AC8" s="880"/>
      <c r="AD8" s="880"/>
      <c r="AE8" s="880"/>
      <c r="AF8" s="880"/>
      <c r="AG8" s="880"/>
      <c r="AH8" s="880"/>
      <c r="AI8" s="880"/>
      <c r="AJ8" s="880"/>
      <c r="AK8" s="880"/>
      <c r="AL8" s="897" t="s">
        <v>978</v>
      </c>
      <c r="AM8" s="879" t="s">
        <v>456</v>
      </c>
      <c r="AN8" s="880"/>
      <c r="AO8" s="880"/>
      <c r="AP8" s="880"/>
      <c r="AQ8" s="880"/>
      <c r="AR8" s="880"/>
      <c r="AS8" s="880"/>
      <c r="AT8" s="880"/>
      <c r="AU8" s="880"/>
      <c r="AV8" s="880"/>
      <c r="AW8" s="880"/>
      <c r="AX8" s="880"/>
      <c r="AY8" s="880"/>
      <c r="AZ8" s="881"/>
      <c r="BA8" s="875"/>
      <c r="BB8" s="32"/>
      <c r="BC8" s="36"/>
    </row>
    <row r="9" spans="1:55" s="7" customFormat="1" ht="21" customHeight="1">
      <c r="A9" s="848"/>
      <c r="B9" s="877"/>
      <c r="C9" s="900" t="s">
        <v>450</v>
      </c>
      <c r="D9" s="900"/>
      <c r="E9" s="871" t="s">
        <v>978</v>
      </c>
      <c r="F9" s="898" t="s">
        <v>450</v>
      </c>
      <c r="G9" s="899"/>
      <c r="H9" s="899"/>
      <c r="I9" s="899"/>
      <c r="J9" s="899"/>
      <c r="K9" s="899"/>
      <c r="L9" s="899"/>
      <c r="M9" s="899"/>
      <c r="N9" s="899"/>
      <c r="O9" s="899"/>
      <c r="P9" s="899"/>
      <c r="Q9" s="899"/>
      <c r="R9" s="899"/>
      <c r="S9" s="899"/>
      <c r="T9" s="899"/>
      <c r="U9" s="899"/>
      <c r="V9" s="899"/>
      <c r="W9" s="899"/>
      <c r="X9" s="899"/>
      <c r="Y9" s="899"/>
      <c r="Z9" s="899"/>
      <c r="AA9" s="899"/>
      <c r="AB9" s="899"/>
      <c r="AC9" s="899"/>
      <c r="AD9" s="899"/>
      <c r="AE9" s="899"/>
      <c r="AF9" s="899"/>
      <c r="AG9" s="899"/>
      <c r="AH9" s="898" t="s">
        <v>449</v>
      </c>
      <c r="AI9" s="899"/>
      <c r="AJ9" s="899"/>
      <c r="AK9" s="899"/>
      <c r="AL9" s="897"/>
      <c r="AM9" s="866" t="s">
        <v>450</v>
      </c>
      <c r="AN9" s="867"/>
      <c r="AO9" s="867"/>
      <c r="AP9" s="867"/>
      <c r="AQ9" s="867"/>
      <c r="AR9" s="867"/>
      <c r="AS9" s="867"/>
      <c r="AT9" s="868"/>
      <c r="AU9" s="866" t="s">
        <v>449</v>
      </c>
      <c r="AV9" s="867"/>
      <c r="AW9" s="867"/>
      <c r="AX9" s="867"/>
      <c r="AY9" s="867"/>
      <c r="AZ9" s="868"/>
      <c r="BA9" s="875"/>
      <c r="BB9" s="516"/>
      <c r="BC9" s="517"/>
    </row>
    <row r="10" spans="1:55" ht="20.25" customHeight="1">
      <c r="A10" s="848"/>
      <c r="B10" s="877"/>
      <c r="C10" s="844" t="s">
        <v>451</v>
      </c>
      <c r="D10" s="845"/>
      <c r="E10" s="871"/>
      <c r="F10" s="893" t="s">
        <v>451</v>
      </c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4"/>
      <c r="U10" s="894"/>
      <c r="V10" s="894"/>
      <c r="W10" s="894"/>
      <c r="X10" s="894"/>
      <c r="Y10" s="894"/>
      <c r="Z10" s="894"/>
      <c r="AA10" s="894"/>
      <c r="AB10" s="894"/>
      <c r="AC10" s="894"/>
      <c r="AD10" s="894"/>
      <c r="AE10" s="894"/>
      <c r="AF10" s="894"/>
      <c r="AG10" s="894"/>
      <c r="AH10" s="894"/>
      <c r="AI10" s="894"/>
      <c r="AJ10" s="894"/>
      <c r="AK10" s="894"/>
      <c r="AL10" s="897"/>
      <c r="AM10" s="866" t="s">
        <v>451</v>
      </c>
      <c r="AN10" s="867"/>
      <c r="AO10" s="867"/>
      <c r="AP10" s="867"/>
      <c r="AQ10" s="867"/>
      <c r="AR10" s="867"/>
      <c r="AS10" s="867"/>
      <c r="AT10" s="867"/>
      <c r="AU10" s="867"/>
      <c r="AV10" s="867"/>
      <c r="AW10" s="867"/>
      <c r="AX10" s="867"/>
      <c r="AY10" s="867"/>
      <c r="AZ10" s="868"/>
      <c r="BA10" s="875"/>
      <c r="BB10" s="33"/>
      <c r="BC10" s="35"/>
    </row>
    <row r="11" spans="1:55" ht="33.75" customHeight="1">
      <c r="A11" s="848"/>
      <c r="B11" s="877"/>
      <c r="C11" s="872" t="s">
        <v>454</v>
      </c>
      <c r="D11" s="862" t="s">
        <v>275</v>
      </c>
      <c r="E11" s="871"/>
      <c r="F11" s="852" t="s">
        <v>590</v>
      </c>
      <c r="G11" s="856" t="s">
        <v>580</v>
      </c>
      <c r="H11" s="856" t="s">
        <v>596</v>
      </c>
      <c r="I11" s="856" t="s">
        <v>597</v>
      </c>
      <c r="J11" s="856" t="s">
        <v>155</v>
      </c>
      <c r="K11" s="855" t="s">
        <v>61</v>
      </c>
      <c r="L11" s="855"/>
      <c r="M11" s="856" t="s">
        <v>156</v>
      </c>
      <c r="N11" s="890" t="s">
        <v>61</v>
      </c>
      <c r="O11" s="891"/>
      <c r="P11" s="891"/>
      <c r="Q11" s="892"/>
      <c r="R11" s="857" t="s">
        <v>154</v>
      </c>
      <c r="S11" s="863" t="s">
        <v>123</v>
      </c>
      <c r="T11" s="864"/>
      <c r="U11" s="865"/>
      <c r="V11" s="857" t="s">
        <v>134</v>
      </c>
      <c r="W11" s="846" t="s">
        <v>123</v>
      </c>
      <c r="X11" s="846"/>
      <c r="Y11" s="846"/>
      <c r="Z11" s="846"/>
      <c r="AA11" s="857" t="s">
        <v>157</v>
      </c>
      <c r="AB11" s="762" t="s">
        <v>126</v>
      </c>
      <c r="AC11" s="856" t="s">
        <v>158</v>
      </c>
      <c r="AD11" s="855" t="s">
        <v>598</v>
      </c>
      <c r="AE11" s="855"/>
      <c r="AF11" s="856" t="s">
        <v>947</v>
      </c>
      <c r="AG11" s="856" t="s">
        <v>520</v>
      </c>
      <c r="AH11" s="856" t="s">
        <v>631</v>
      </c>
      <c r="AI11" s="856" t="s">
        <v>138</v>
      </c>
      <c r="AJ11" s="856" t="s">
        <v>248</v>
      </c>
      <c r="AK11" s="856" t="s">
        <v>520</v>
      </c>
      <c r="AL11" s="897"/>
      <c r="AM11" s="852" t="s">
        <v>531</v>
      </c>
      <c r="AN11" s="856" t="s">
        <v>213</v>
      </c>
      <c r="AO11" s="889" t="s">
        <v>61</v>
      </c>
      <c r="AP11" s="889"/>
      <c r="AQ11" s="855" t="s">
        <v>651</v>
      </c>
      <c r="AR11" s="855" t="s">
        <v>807</v>
      </c>
      <c r="AS11" s="855"/>
      <c r="AT11" s="855"/>
      <c r="AU11" s="856" t="s">
        <v>531</v>
      </c>
      <c r="AV11" s="856" t="s">
        <v>800</v>
      </c>
      <c r="AW11" s="855" t="s">
        <v>651</v>
      </c>
      <c r="AX11" s="862" t="s">
        <v>807</v>
      </c>
      <c r="AY11" s="862"/>
      <c r="AZ11" s="862"/>
      <c r="BA11" s="875"/>
      <c r="BB11" s="33"/>
      <c r="BC11" s="35"/>
    </row>
    <row r="12" spans="1:55" ht="30" customHeight="1">
      <c r="A12" s="848"/>
      <c r="B12" s="877"/>
      <c r="C12" s="873"/>
      <c r="D12" s="862"/>
      <c r="E12" s="871"/>
      <c r="F12" s="853"/>
      <c r="G12" s="860"/>
      <c r="H12" s="860"/>
      <c r="I12" s="860"/>
      <c r="J12" s="860"/>
      <c r="K12" s="860" t="s">
        <v>62</v>
      </c>
      <c r="L12" s="860" t="s">
        <v>63</v>
      </c>
      <c r="M12" s="860"/>
      <c r="N12" s="856" t="s">
        <v>64</v>
      </c>
      <c r="O12" s="856" t="s">
        <v>742</v>
      </c>
      <c r="P12" s="855" t="s">
        <v>741</v>
      </c>
      <c r="Q12" s="855" t="s">
        <v>743</v>
      </c>
      <c r="R12" s="858"/>
      <c r="S12" s="846" t="s">
        <v>122</v>
      </c>
      <c r="T12" s="846" t="s">
        <v>124</v>
      </c>
      <c r="U12" s="846" t="s">
        <v>125</v>
      </c>
      <c r="V12" s="858"/>
      <c r="W12" s="858" t="s">
        <v>129</v>
      </c>
      <c r="X12" s="858" t="s">
        <v>130</v>
      </c>
      <c r="Y12" s="858" t="s">
        <v>131</v>
      </c>
      <c r="Z12" s="858" t="s">
        <v>132</v>
      </c>
      <c r="AA12" s="858"/>
      <c r="AB12" s="846" t="s">
        <v>60</v>
      </c>
      <c r="AC12" s="860"/>
      <c r="AD12" s="855" t="s">
        <v>458</v>
      </c>
      <c r="AE12" s="855" t="s">
        <v>60</v>
      </c>
      <c r="AF12" s="860"/>
      <c r="AG12" s="860"/>
      <c r="AH12" s="860"/>
      <c r="AI12" s="860"/>
      <c r="AJ12" s="860"/>
      <c r="AK12" s="860"/>
      <c r="AL12" s="897"/>
      <c r="AM12" s="853"/>
      <c r="AN12" s="860"/>
      <c r="AO12" s="855" t="s">
        <v>741</v>
      </c>
      <c r="AP12" s="855" t="s">
        <v>743</v>
      </c>
      <c r="AQ12" s="855"/>
      <c r="AR12" s="855" t="s">
        <v>849</v>
      </c>
      <c r="AS12" s="895" t="s">
        <v>795</v>
      </c>
      <c r="AT12" s="896"/>
      <c r="AU12" s="860"/>
      <c r="AV12" s="860"/>
      <c r="AW12" s="855"/>
      <c r="AX12" s="856" t="s">
        <v>221</v>
      </c>
      <c r="AY12" s="895" t="s">
        <v>795</v>
      </c>
      <c r="AZ12" s="896"/>
      <c r="BA12" s="875"/>
      <c r="BB12" s="33"/>
      <c r="BC12" s="35"/>
    </row>
    <row r="13" spans="1:55" s="10" customFormat="1" ht="133.5" customHeight="1">
      <c r="A13" s="849"/>
      <c r="B13" s="878"/>
      <c r="C13" s="874"/>
      <c r="D13" s="862"/>
      <c r="E13" s="871"/>
      <c r="F13" s="854"/>
      <c r="G13" s="861"/>
      <c r="H13" s="861"/>
      <c r="I13" s="861"/>
      <c r="J13" s="861"/>
      <c r="K13" s="861"/>
      <c r="L13" s="861"/>
      <c r="M13" s="861"/>
      <c r="N13" s="790"/>
      <c r="O13" s="790"/>
      <c r="P13" s="855"/>
      <c r="Q13" s="855"/>
      <c r="R13" s="859"/>
      <c r="S13" s="846"/>
      <c r="T13" s="846"/>
      <c r="U13" s="846"/>
      <c r="V13" s="859"/>
      <c r="W13" s="859"/>
      <c r="X13" s="859"/>
      <c r="Y13" s="859"/>
      <c r="Z13" s="859"/>
      <c r="AA13" s="859"/>
      <c r="AB13" s="846"/>
      <c r="AC13" s="861"/>
      <c r="AD13" s="855"/>
      <c r="AE13" s="855"/>
      <c r="AF13" s="861"/>
      <c r="AG13" s="861"/>
      <c r="AH13" s="861"/>
      <c r="AI13" s="861"/>
      <c r="AJ13" s="861"/>
      <c r="AK13" s="861"/>
      <c r="AL13" s="897"/>
      <c r="AM13" s="854"/>
      <c r="AN13" s="861"/>
      <c r="AO13" s="855"/>
      <c r="AP13" s="855"/>
      <c r="AQ13" s="855"/>
      <c r="AR13" s="855"/>
      <c r="AS13" s="707" t="s">
        <v>970</v>
      </c>
      <c r="AT13" s="709" t="s">
        <v>806</v>
      </c>
      <c r="AU13" s="861"/>
      <c r="AV13" s="861"/>
      <c r="AW13" s="855"/>
      <c r="AX13" s="861"/>
      <c r="AY13" s="708" t="s">
        <v>808</v>
      </c>
      <c r="AZ13" s="708" t="s">
        <v>809</v>
      </c>
      <c r="BA13" s="875"/>
      <c r="BB13" s="33"/>
      <c r="BC13" s="37"/>
    </row>
    <row r="14" spans="1:55" s="529" customFormat="1" ht="22.5" customHeight="1">
      <c r="A14" s="518">
        <v>1</v>
      </c>
      <c r="B14" s="519">
        <v>2</v>
      </c>
      <c r="C14" s="520">
        <v>3</v>
      </c>
      <c r="D14" s="520">
        <v>4</v>
      </c>
      <c r="E14" s="521">
        <v>5</v>
      </c>
      <c r="F14" s="520">
        <v>6</v>
      </c>
      <c r="G14" s="679">
        <v>7</v>
      </c>
      <c r="H14" s="520">
        <v>8</v>
      </c>
      <c r="I14" s="520">
        <v>9</v>
      </c>
      <c r="J14" s="520">
        <v>10</v>
      </c>
      <c r="K14" s="520">
        <v>11</v>
      </c>
      <c r="L14" s="520">
        <v>12</v>
      </c>
      <c r="M14" s="520">
        <v>13</v>
      </c>
      <c r="N14" s="520">
        <v>14</v>
      </c>
      <c r="O14" s="520">
        <v>15</v>
      </c>
      <c r="P14" s="520">
        <v>16</v>
      </c>
      <c r="Q14" s="520">
        <v>17</v>
      </c>
      <c r="R14" s="763">
        <v>18</v>
      </c>
      <c r="S14" s="763">
        <v>19</v>
      </c>
      <c r="T14" s="763">
        <v>20</v>
      </c>
      <c r="U14" s="763">
        <v>21</v>
      </c>
      <c r="V14" s="763">
        <v>22</v>
      </c>
      <c r="W14" s="763">
        <v>23</v>
      </c>
      <c r="X14" s="763">
        <v>24</v>
      </c>
      <c r="Y14" s="763">
        <v>25</v>
      </c>
      <c r="Z14" s="763">
        <v>26</v>
      </c>
      <c r="AA14" s="763">
        <v>27</v>
      </c>
      <c r="AB14" s="763">
        <v>28</v>
      </c>
      <c r="AC14" s="520">
        <v>29</v>
      </c>
      <c r="AD14" s="520">
        <v>30</v>
      </c>
      <c r="AE14" s="520">
        <v>31</v>
      </c>
      <c r="AF14" s="520">
        <v>32</v>
      </c>
      <c r="AG14" s="520">
        <v>33</v>
      </c>
      <c r="AH14" s="520">
        <v>34</v>
      </c>
      <c r="AI14" s="520">
        <v>35</v>
      </c>
      <c r="AJ14" s="520">
        <v>36</v>
      </c>
      <c r="AK14" s="520">
        <v>37</v>
      </c>
      <c r="AL14" s="522">
        <v>38</v>
      </c>
      <c r="AM14" s="691">
        <v>39</v>
      </c>
      <c r="AN14" s="691">
        <v>40</v>
      </c>
      <c r="AO14" s="691">
        <v>41</v>
      </c>
      <c r="AP14" s="691">
        <v>42</v>
      </c>
      <c r="AQ14" s="520">
        <v>43</v>
      </c>
      <c r="AR14" s="520">
        <v>44</v>
      </c>
      <c r="AS14" s="523">
        <v>45</v>
      </c>
      <c r="AT14" s="524">
        <v>46</v>
      </c>
      <c r="AU14" s="524">
        <v>47</v>
      </c>
      <c r="AV14" s="524">
        <v>48</v>
      </c>
      <c r="AW14" s="525">
        <v>49</v>
      </c>
      <c r="AX14" s="525">
        <v>50</v>
      </c>
      <c r="AY14" s="525">
        <v>51</v>
      </c>
      <c r="AZ14" s="525">
        <v>52</v>
      </c>
      <c r="BA14" s="526">
        <v>53</v>
      </c>
      <c r="BB14" s="527"/>
      <c r="BC14" s="528"/>
    </row>
    <row r="15" spans="1:55" s="20" customFormat="1" ht="38.25" customHeight="1">
      <c r="A15" s="486" t="s">
        <v>897</v>
      </c>
      <c r="B15" s="510" t="s">
        <v>721</v>
      </c>
      <c r="C15" s="393"/>
      <c r="D15" s="393"/>
      <c r="E15" s="506">
        <f>SUM(C15:D15)</f>
        <v>0</v>
      </c>
      <c r="F15" s="393"/>
      <c r="G15" s="680"/>
      <c r="H15" s="393"/>
      <c r="I15" s="393"/>
      <c r="J15" s="393"/>
      <c r="K15" s="393"/>
      <c r="L15" s="393"/>
      <c r="M15" s="393">
        <f>N15+P15+Q15</f>
        <v>15800</v>
      </c>
      <c r="N15" s="393"/>
      <c r="O15" s="393"/>
      <c r="P15" s="393">
        <v>10220</v>
      </c>
      <c r="Q15" s="393">
        <v>5580</v>
      </c>
      <c r="R15" s="764">
        <f>S15+T15+U15</f>
        <v>0</v>
      </c>
      <c r="S15" s="764"/>
      <c r="T15" s="764"/>
      <c r="U15" s="764"/>
      <c r="V15" s="764"/>
      <c r="W15" s="764"/>
      <c r="X15" s="764"/>
      <c r="Y15" s="764"/>
      <c r="Z15" s="764"/>
      <c r="AA15" s="764"/>
      <c r="AB15" s="764"/>
      <c r="AC15" s="393"/>
      <c r="AD15" s="393"/>
      <c r="AE15" s="393"/>
      <c r="AF15" s="393"/>
      <c r="AG15" s="393">
        <f>'Дод.1.1'!D57</f>
        <v>31551</v>
      </c>
      <c r="AH15" s="393"/>
      <c r="AI15" s="393"/>
      <c r="AJ15" s="393"/>
      <c r="AK15" s="393">
        <f>'Дод.1.1'!E57</f>
        <v>15000</v>
      </c>
      <c r="AL15" s="507">
        <f aca="true" t="shared" si="0" ref="AL15:AL35">E15+F15+G15+H15+I15+J15+M15+AC15+AF15+AG15+AH15+AK15+AA15+AI15+AJ15</f>
        <v>62351</v>
      </c>
      <c r="AM15" s="488"/>
      <c r="AN15" s="393">
        <f>AO15+AP15</f>
        <v>15800</v>
      </c>
      <c r="AO15" s="393">
        <f>P15</f>
        <v>10220</v>
      </c>
      <c r="AP15" s="393">
        <f>Q15</f>
        <v>5580</v>
      </c>
      <c r="AQ15" s="393">
        <f>AR15</f>
        <v>3962023</v>
      </c>
      <c r="AR15" s="393">
        <f>AS15+AT15</f>
        <v>3962023</v>
      </c>
      <c r="AS15" s="393">
        <v>3166774</v>
      </c>
      <c r="AT15" s="393">
        <v>795249</v>
      </c>
      <c r="AU15" s="393"/>
      <c r="AV15" s="393"/>
      <c r="AW15" s="393">
        <f>AX15</f>
        <v>0</v>
      </c>
      <c r="AX15" s="393">
        <f>AY15+AZ15</f>
        <v>0</v>
      </c>
      <c r="AY15" s="393"/>
      <c r="AZ15" s="393"/>
      <c r="BA15" s="507">
        <f>AM15+AN15+AQ15+AU15+AV15+AW15</f>
        <v>3977823</v>
      </c>
      <c r="BB15" s="48"/>
      <c r="BC15" s="49"/>
    </row>
    <row r="16" spans="1:55" s="20" customFormat="1" ht="36.75" customHeight="1">
      <c r="A16" s="486" t="s">
        <v>898</v>
      </c>
      <c r="B16" s="510" t="s">
        <v>722</v>
      </c>
      <c r="C16" s="393"/>
      <c r="D16" s="393"/>
      <c r="E16" s="506">
        <f aca="true" t="shared" si="1" ref="E16:E42">SUM(C16:D16)</f>
        <v>0</v>
      </c>
      <c r="F16" s="393"/>
      <c r="G16" s="680"/>
      <c r="H16" s="393"/>
      <c r="I16" s="393"/>
      <c r="J16" s="393"/>
      <c r="K16" s="393"/>
      <c r="L16" s="393"/>
      <c r="M16" s="393">
        <f aca="true" t="shared" si="2" ref="M16:M34">N16+P16+Q16</f>
        <v>0</v>
      </c>
      <c r="N16" s="393"/>
      <c r="O16" s="393"/>
      <c r="P16" s="393"/>
      <c r="Q16" s="393"/>
      <c r="R16" s="764">
        <f aca="true" t="shared" si="3" ref="R16:R42">S16+T16+U16</f>
        <v>0</v>
      </c>
      <c r="S16" s="764"/>
      <c r="T16" s="764"/>
      <c r="U16" s="764"/>
      <c r="V16" s="764"/>
      <c r="W16" s="764"/>
      <c r="X16" s="764"/>
      <c r="Y16" s="764"/>
      <c r="Z16" s="764"/>
      <c r="AA16" s="764"/>
      <c r="AB16" s="764"/>
      <c r="AC16" s="393"/>
      <c r="AD16" s="393"/>
      <c r="AE16" s="393"/>
      <c r="AF16" s="393"/>
      <c r="AG16" s="393">
        <f>'Дод.1.1'!D61</f>
        <v>30547</v>
      </c>
      <c r="AH16" s="393"/>
      <c r="AI16" s="393"/>
      <c r="AJ16" s="393"/>
      <c r="AK16" s="393">
        <f>'Дод.1.1'!E61</f>
        <v>0</v>
      </c>
      <c r="AL16" s="507">
        <f t="shared" si="0"/>
        <v>30547</v>
      </c>
      <c r="AM16" s="488"/>
      <c r="AN16" s="393">
        <f aca="true" t="shared" si="4" ref="AN16:AN43">AO16+AP16</f>
        <v>0</v>
      </c>
      <c r="AO16" s="393">
        <f aca="true" t="shared" si="5" ref="AO16:AO43">P16</f>
        <v>0</v>
      </c>
      <c r="AP16" s="393">
        <f aca="true" t="shared" si="6" ref="AP16:AP43">Q16</f>
        <v>0</v>
      </c>
      <c r="AQ16" s="393">
        <f>AR16</f>
        <v>713847</v>
      </c>
      <c r="AR16" s="393">
        <f aca="true" t="shared" si="7" ref="AR16:AR42">AS16+AT16</f>
        <v>713847</v>
      </c>
      <c r="AS16" s="393">
        <v>406579</v>
      </c>
      <c r="AT16" s="393">
        <v>307268</v>
      </c>
      <c r="AU16" s="393"/>
      <c r="AV16" s="393"/>
      <c r="AW16" s="393">
        <f>AX16+544900</f>
        <v>544900</v>
      </c>
      <c r="AX16" s="393">
        <f aca="true" t="shared" si="8" ref="AX16:AX42">AY16+AZ16</f>
        <v>0</v>
      </c>
      <c r="AY16" s="393"/>
      <c r="AZ16" s="393"/>
      <c r="BA16" s="507">
        <f aca="true" t="shared" si="9" ref="BA16:BA43">AM16+AN16+AQ16+AU16+AV16+AW16</f>
        <v>1258747</v>
      </c>
      <c r="BB16" s="48"/>
      <c r="BC16" s="49"/>
    </row>
    <row r="17" spans="1:55" s="20" customFormat="1" ht="36.75" customHeight="1">
      <c r="A17" s="486" t="s">
        <v>899</v>
      </c>
      <c r="B17" s="510" t="s">
        <v>723</v>
      </c>
      <c r="C17" s="393"/>
      <c r="D17" s="393"/>
      <c r="E17" s="506">
        <f t="shared" si="1"/>
        <v>0</v>
      </c>
      <c r="F17" s="393"/>
      <c r="G17" s="680"/>
      <c r="H17" s="393"/>
      <c r="I17" s="393"/>
      <c r="J17" s="393"/>
      <c r="K17" s="393"/>
      <c r="L17" s="393"/>
      <c r="M17" s="393">
        <f t="shared" si="2"/>
        <v>0</v>
      </c>
      <c r="N17" s="393"/>
      <c r="O17" s="393"/>
      <c r="P17" s="393"/>
      <c r="Q17" s="393"/>
      <c r="R17" s="764">
        <f t="shared" si="3"/>
        <v>0</v>
      </c>
      <c r="S17" s="764"/>
      <c r="T17" s="764"/>
      <c r="U17" s="764"/>
      <c r="V17" s="764"/>
      <c r="W17" s="764"/>
      <c r="X17" s="764"/>
      <c r="Y17" s="764"/>
      <c r="Z17" s="764"/>
      <c r="AA17" s="764"/>
      <c r="AB17" s="764"/>
      <c r="AC17" s="393"/>
      <c r="AD17" s="393"/>
      <c r="AE17" s="393"/>
      <c r="AF17" s="393"/>
      <c r="AG17" s="393">
        <f>'Дод.1.1'!D66</f>
        <v>24377</v>
      </c>
      <c r="AH17" s="393"/>
      <c r="AI17" s="393"/>
      <c r="AJ17" s="393"/>
      <c r="AK17" s="393">
        <f>'Дод.1.1'!E66</f>
        <v>0</v>
      </c>
      <c r="AL17" s="507">
        <f t="shared" si="0"/>
        <v>24377</v>
      </c>
      <c r="AM17" s="488"/>
      <c r="AN17" s="393">
        <f t="shared" si="4"/>
        <v>0</v>
      </c>
      <c r="AO17" s="393">
        <f t="shared" si="5"/>
        <v>0</v>
      </c>
      <c r="AP17" s="393">
        <f t="shared" si="6"/>
        <v>0</v>
      </c>
      <c r="AQ17" s="393">
        <f>AR17+12300</f>
        <v>709184</v>
      </c>
      <c r="AR17" s="393">
        <f t="shared" si="7"/>
        <v>696884</v>
      </c>
      <c r="AS17" s="393">
        <v>200325</v>
      </c>
      <c r="AT17" s="393">
        <v>496559</v>
      </c>
      <c r="AU17" s="393"/>
      <c r="AV17" s="393"/>
      <c r="AW17" s="393">
        <f>50000+150000</f>
        <v>200000</v>
      </c>
      <c r="AX17" s="393">
        <f t="shared" si="8"/>
        <v>0</v>
      </c>
      <c r="AY17" s="393"/>
      <c r="AZ17" s="393"/>
      <c r="BA17" s="507">
        <f t="shared" si="9"/>
        <v>909184</v>
      </c>
      <c r="BB17" s="48"/>
      <c r="BC17" s="49"/>
    </row>
    <row r="18" spans="1:55" s="20" customFormat="1" ht="42" customHeight="1">
      <c r="A18" s="658" t="s">
        <v>900</v>
      </c>
      <c r="B18" s="510" t="s">
        <v>724</v>
      </c>
      <c r="C18" s="393"/>
      <c r="D18" s="393"/>
      <c r="E18" s="506">
        <f t="shared" si="1"/>
        <v>0</v>
      </c>
      <c r="F18" s="393"/>
      <c r="G18" s="680"/>
      <c r="H18" s="393"/>
      <c r="I18" s="393"/>
      <c r="J18" s="393"/>
      <c r="K18" s="393"/>
      <c r="L18" s="393"/>
      <c r="M18" s="393">
        <f t="shared" si="2"/>
        <v>0</v>
      </c>
      <c r="N18" s="393"/>
      <c r="O18" s="393"/>
      <c r="P18" s="393"/>
      <c r="Q18" s="393"/>
      <c r="R18" s="764">
        <f t="shared" si="3"/>
        <v>0</v>
      </c>
      <c r="S18" s="764"/>
      <c r="T18" s="764"/>
      <c r="U18" s="764"/>
      <c r="V18" s="764"/>
      <c r="W18" s="764"/>
      <c r="X18" s="764"/>
      <c r="Y18" s="764"/>
      <c r="Z18" s="764"/>
      <c r="AA18" s="764"/>
      <c r="AB18" s="764"/>
      <c r="AC18" s="393"/>
      <c r="AD18" s="393"/>
      <c r="AE18" s="393"/>
      <c r="AF18" s="393"/>
      <c r="AG18" s="393">
        <f>'Дод.1.1'!D70</f>
        <v>14221</v>
      </c>
      <c r="AH18" s="393"/>
      <c r="AI18" s="393"/>
      <c r="AJ18" s="393"/>
      <c r="AK18" s="393">
        <f>'Дод.1.1'!E70</f>
        <v>6000</v>
      </c>
      <c r="AL18" s="507">
        <f t="shared" si="0"/>
        <v>20221</v>
      </c>
      <c r="AM18" s="488"/>
      <c r="AN18" s="393">
        <f t="shared" si="4"/>
        <v>0</v>
      </c>
      <c r="AO18" s="393">
        <f t="shared" si="5"/>
        <v>0</v>
      </c>
      <c r="AP18" s="393">
        <f t="shared" si="6"/>
        <v>0</v>
      </c>
      <c r="AQ18" s="393">
        <f>AR18+3000+25000+16025</f>
        <v>3619302</v>
      </c>
      <c r="AR18" s="393">
        <f t="shared" si="7"/>
        <v>3575277</v>
      </c>
      <c r="AS18" s="393">
        <v>2686712</v>
      </c>
      <c r="AT18" s="393">
        <v>888565</v>
      </c>
      <c r="AU18" s="393"/>
      <c r="AV18" s="393"/>
      <c r="AW18" s="393">
        <f>AX18</f>
        <v>50000</v>
      </c>
      <c r="AX18" s="393">
        <f t="shared" si="8"/>
        <v>50000</v>
      </c>
      <c r="AY18" s="393">
        <v>50000</v>
      </c>
      <c r="AZ18" s="393"/>
      <c r="BA18" s="507">
        <f t="shared" si="9"/>
        <v>3669302</v>
      </c>
      <c r="BB18" s="48"/>
      <c r="BC18" s="49"/>
    </row>
    <row r="19" spans="1:55" s="20" customFormat="1" ht="42.75" customHeight="1">
      <c r="A19" s="658" t="s">
        <v>901</v>
      </c>
      <c r="B19" s="510" t="s">
        <v>725</v>
      </c>
      <c r="C19" s="393"/>
      <c r="D19" s="393"/>
      <c r="E19" s="506">
        <f t="shared" si="1"/>
        <v>0</v>
      </c>
      <c r="F19" s="393"/>
      <c r="G19" s="680"/>
      <c r="H19" s="393"/>
      <c r="I19" s="393"/>
      <c r="J19" s="393"/>
      <c r="K19" s="393"/>
      <c r="L19" s="393"/>
      <c r="M19" s="393">
        <f t="shared" si="2"/>
        <v>0</v>
      </c>
      <c r="N19" s="393"/>
      <c r="O19" s="393"/>
      <c r="P19" s="393"/>
      <c r="Q19" s="393"/>
      <c r="R19" s="764">
        <f t="shared" si="3"/>
        <v>0</v>
      </c>
      <c r="S19" s="764"/>
      <c r="T19" s="764"/>
      <c r="U19" s="764"/>
      <c r="V19" s="764"/>
      <c r="W19" s="764"/>
      <c r="X19" s="764"/>
      <c r="Y19" s="764"/>
      <c r="Z19" s="764"/>
      <c r="AA19" s="764"/>
      <c r="AB19" s="764"/>
      <c r="AC19" s="393"/>
      <c r="AD19" s="393"/>
      <c r="AE19" s="393"/>
      <c r="AF19" s="393"/>
      <c r="AG19" s="393"/>
      <c r="AH19" s="393"/>
      <c r="AI19" s="393"/>
      <c r="AJ19" s="393"/>
      <c r="AK19" s="393"/>
      <c r="AL19" s="507">
        <f t="shared" si="0"/>
        <v>0</v>
      </c>
      <c r="AM19" s="488"/>
      <c r="AN19" s="393">
        <f t="shared" si="4"/>
        <v>0</v>
      </c>
      <c r="AO19" s="393">
        <f t="shared" si="5"/>
        <v>0</v>
      </c>
      <c r="AP19" s="393">
        <f t="shared" si="6"/>
        <v>0</v>
      </c>
      <c r="AQ19" s="393">
        <f>AR19</f>
        <v>340958</v>
      </c>
      <c r="AR19" s="393">
        <f t="shared" si="7"/>
        <v>340958</v>
      </c>
      <c r="AS19" s="393">
        <v>117994</v>
      </c>
      <c r="AT19" s="393">
        <v>222964</v>
      </c>
      <c r="AU19" s="393"/>
      <c r="AV19" s="393"/>
      <c r="AW19" s="393">
        <f aca="true" t="shared" si="10" ref="AW19:AW42">AX19</f>
        <v>0</v>
      </c>
      <c r="AX19" s="393">
        <f t="shared" si="8"/>
        <v>0</v>
      </c>
      <c r="AY19" s="393"/>
      <c r="AZ19" s="393"/>
      <c r="BA19" s="507">
        <f t="shared" si="9"/>
        <v>340958</v>
      </c>
      <c r="BB19" s="48"/>
      <c r="BC19" s="49"/>
    </row>
    <row r="20" spans="1:55" s="20" customFormat="1" ht="60.75" customHeight="1">
      <c r="A20" s="658" t="s">
        <v>487</v>
      </c>
      <c r="B20" s="510" t="s">
        <v>814</v>
      </c>
      <c r="C20" s="393"/>
      <c r="D20" s="393">
        <f>158631+8668+144667</f>
        <v>311966</v>
      </c>
      <c r="E20" s="506">
        <f t="shared" si="1"/>
        <v>311966</v>
      </c>
      <c r="F20" s="393"/>
      <c r="G20" s="680"/>
      <c r="H20" s="393"/>
      <c r="I20" s="393"/>
      <c r="J20" s="393"/>
      <c r="K20" s="393"/>
      <c r="L20" s="393"/>
      <c r="M20" s="393">
        <f t="shared" si="2"/>
        <v>0</v>
      </c>
      <c r="N20" s="393"/>
      <c r="O20" s="393"/>
      <c r="P20" s="393"/>
      <c r="Q20" s="393"/>
      <c r="R20" s="764">
        <f t="shared" si="3"/>
        <v>0</v>
      </c>
      <c r="S20" s="764"/>
      <c r="T20" s="764"/>
      <c r="U20" s="764"/>
      <c r="V20" s="764"/>
      <c r="W20" s="764"/>
      <c r="X20" s="764"/>
      <c r="Y20" s="764"/>
      <c r="Z20" s="764"/>
      <c r="AA20" s="764">
        <v>385.35</v>
      </c>
      <c r="AB20" s="764"/>
      <c r="AC20" s="393">
        <f>2451049+286151+5812</f>
        <v>2743012</v>
      </c>
      <c r="AD20" s="393">
        <v>5812</v>
      </c>
      <c r="AE20" s="393"/>
      <c r="AF20" s="393"/>
      <c r="AG20" s="393">
        <f>'Дод.1.1'!D86</f>
        <v>757659</v>
      </c>
      <c r="AH20" s="393"/>
      <c r="AI20" s="393"/>
      <c r="AJ20" s="393"/>
      <c r="AK20" s="393">
        <f>'Дод.1.1'!E86</f>
        <v>108700</v>
      </c>
      <c r="AL20" s="507">
        <f t="shared" si="0"/>
        <v>3921722.35</v>
      </c>
      <c r="AM20" s="488"/>
      <c r="AN20" s="393">
        <f t="shared" si="4"/>
        <v>0</v>
      </c>
      <c r="AO20" s="393">
        <f t="shared" si="5"/>
        <v>0</v>
      </c>
      <c r="AP20" s="393">
        <f t="shared" si="6"/>
        <v>0</v>
      </c>
      <c r="AQ20" s="393">
        <f>AR20</f>
        <v>0</v>
      </c>
      <c r="AR20" s="393">
        <f t="shared" si="7"/>
        <v>0</v>
      </c>
      <c r="AS20" s="393"/>
      <c r="AT20" s="393"/>
      <c r="AU20" s="393"/>
      <c r="AV20" s="393"/>
      <c r="AW20" s="393">
        <f t="shared" si="10"/>
        <v>0</v>
      </c>
      <c r="AX20" s="393">
        <f t="shared" si="8"/>
        <v>0</v>
      </c>
      <c r="AY20" s="393"/>
      <c r="AZ20" s="393"/>
      <c r="BA20" s="507">
        <f t="shared" si="9"/>
        <v>0</v>
      </c>
      <c r="BB20" s="48"/>
      <c r="BC20" s="49"/>
    </row>
    <row r="21" spans="1:55" s="20" customFormat="1" ht="37.5" customHeight="1">
      <c r="A21" s="658" t="s">
        <v>480</v>
      </c>
      <c r="B21" s="510" t="s">
        <v>726</v>
      </c>
      <c r="C21" s="393"/>
      <c r="D21" s="393"/>
      <c r="E21" s="506">
        <f t="shared" si="1"/>
        <v>0</v>
      </c>
      <c r="F21" s="393"/>
      <c r="G21" s="680"/>
      <c r="H21" s="393"/>
      <c r="I21" s="393"/>
      <c r="J21" s="393"/>
      <c r="K21" s="393"/>
      <c r="L21" s="393"/>
      <c r="M21" s="393">
        <f t="shared" si="2"/>
        <v>0</v>
      </c>
      <c r="N21" s="393"/>
      <c r="O21" s="393"/>
      <c r="P21" s="393"/>
      <c r="Q21" s="393"/>
      <c r="R21" s="764">
        <f t="shared" si="3"/>
        <v>0</v>
      </c>
      <c r="S21" s="764"/>
      <c r="T21" s="764"/>
      <c r="U21" s="764"/>
      <c r="V21" s="764"/>
      <c r="W21" s="764"/>
      <c r="X21" s="764"/>
      <c r="Y21" s="764"/>
      <c r="Z21" s="764"/>
      <c r="AA21" s="764"/>
      <c r="AB21" s="764"/>
      <c r="AC21" s="393"/>
      <c r="AD21" s="393"/>
      <c r="AE21" s="393"/>
      <c r="AF21" s="393"/>
      <c r="AG21" s="393"/>
      <c r="AH21" s="393"/>
      <c r="AI21" s="393"/>
      <c r="AJ21" s="393"/>
      <c r="AK21" s="393"/>
      <c r="AL21" s="507">
        <f t="shared" si="0"/>
        <v>0</v>
      </c>
      <c r="AM21" s="488"/>
      <c r="AN21" s="393">
        <f t="shared" si="4"/>
        <v>0</v>
      </c>
      <c r="AO21" s="393">
        <f t="shared" si="5"/>
        <v>0</v>
      </c>
      <c r="AP21" s="393">
        <f t="shared" si="6"/>
        <v>0</v>
      </c>
      <c r="AQ21" s="393">
        <f>AR21+44450</f>
        <v>306888</v>
      </c>
      <c r="AR21" s="393">
        <f t="shared" si="7"/>
        <v>262438</v>
      </c>
      <c r="AS21" s="393">
        <v>174284</v>
      </c>
      <c r="AT21" s="393">
        <v>88154</v>
      </c>
      <c r="AU21" s="393"/>
      <c r="AV21" s="393"/>
      <c r="AW21" s="393">
        <f t="shared" si="10"/>
        <v>0</v>
      </c>
      <c r="AX21" s="393">
        <f t="shared" si="8"/>
        <v>0</v>
      </c>
      <c r="AY21" s="393"/>
      <c r="AZ21" s="393"/>
      <c r="BA21" s="507">
        <f t="shared" si="9"/>
        <v>306888</v>
      </c>
      <c r="BB21" s="48"/>
      <c r="BC21" s="49"/>
    </row>
    <row r="22" spans="1:55" s="20" customFormat="1" ht="36.75" customHeight="1">
      <c r="A22" s="658" t="s">
        <v>481</v>
      </c>
      <c r="B22" s="510" t="s">
        <v>727</v>
      </c>
      <c r="C22" s="393"/>
      <c r="D22" s="393"/>
      <c r="E22" s="506">
        <f t="shared" si="1"/>
        <v>0</v>
      </c>
      <c r="F22" s="393"/>
      <c r="G22" s="680"/>
      <c r="H22" s="393"/>
      <c r="I22" s="393"/>
      <c r="J22" s="393"/>
      <c r="K22" s="393"/>
      <c r="L22" s="393"/>
      <c r="M22" s="393">
        <f t="shared" si="2"/>
        <v>0</v>
      </c>
      <c r="N22" s="393"/>
      <c r="O22" s="393"/>
      <c r="P22" s="393"/>
      <c r="Q22" s="393"/>
      <c r="R22" s="764">
        <f t="shared" si="3"/>
        <v>0</v>
      </c>
      <c r="S22" s="764"/>
      <c r="T22" s="764"/>
      <c r="U22" s="764"/>
      <c r="V22" s="764"/>
      <c r="W22" s="764"/>
      <c r="X22" s="764"/>
      <c r="Y22" s="764"/>
      <c r="Z22" s="764"/>
      <c r="AA22" s="764"/>
      <c r="AB22" s="764"/>
      <c r="AC22" s="393"/>
      <c r="AD22" s="393"/>
      <c r="AE22" s="393"/>
      <c r="AF22" s="393"/>
      <c r="AG22" s="393"/>
      <c r="AH22" s="393"/>
      <c r="AI22" s="393"/>
      <c r="AJ22" s="393"/>
      <c r="AK22" s="393"/>
      <c r="AL22" s="507">
        <f t="shared" si="0"/>
        <v>0</v>
      </c>
      <c r="AM22" s="488"/>
      <c r="AN22" s="393">
        <f t="shared" si="4"/>
        <v>0</v>
      </c>
      <c r="AO22" s="393">
        <f t="shared" si="5"/>
        <v>0</v>
      </c>
      <c r="AP22" s="393">
        <f t="shared" si="6"/>
        <v>0</v>
      </c>
      <c r="AQ22" s="393">
        <f>AR22+75396+80650+49743</f>
        <v>421377</v>
      </c>
      <c r="AR22" s="393">
        <f t="shared" si="7"/>
        <v>215588</v>
      </c>
      <c r="AS22" s="393">
        <v>133631</v>
      </c>
      <c r="AT22" s="393">
        <v>81957</v>
      </c>
      <c r="AU22" s="393"/>
      <c r="AV22" s="393"/>
      <c r="AW22" s="393"/>
      <c r="AX22" s="393">
        <f t="shared" si="8"/>
        <v>0</v>
      </c>
      <c r="AY22" s="393"/>
      <c r="AZ22" s="393"/>
      <c r="BA22" s="507">
        <f t="shared" si="9"/>
        <v>421377</v>
      </c>
      <c r="BB22" s="48"/>
      <c r="BC22" s="49"/>
    </row>
    <row r="23" spans="1:55" s="20" customFormat="1" ht="37.5" customHeight="1">
      <c r="A23" s="658" t="s">
        <v>482</v>
      </c>
      <c r="B23" s="510" t="s">
        <v>728</v>
      </c>
      <c r="C23" s="393"/>
      <c r="D23" s="393"/>
      <c r="E23" s="506">
        <f t="shared" si="1"/>
        <v>0</v>
      </c>
      <c r="F23" s="393"/>
      <c r="G23" s="680"/>
      <c r="H23" s="393"/>
      <c r="I23" s="393"/>
      <c r="J23" s="393"/>
      <c r="K23" s="393"/>
      <c r="L23" s="393"/>
      <c r="M23" s="393">
        <f t="shared" si="2"/>
        <v>0</v>
      </c>
      <c r="N23" s="393"/>
      <c r="O23" s="393"/>
      <c r="P23" s="393"/>
      <c r="Q23" s="393"/>
      <c r="R23" s="764">
        <f t="shared" si="3"/>
        <v>0</v>
      </c>
      <c r="S23" s="764"/>
      <c r="T23" s="764"/>
      <c r="U23" s="764"/>
      <c r="V23" s="764"/>
      <c r="W23" s="764"/>
      <c r="X23" s="764"/>
      <c r="Y23" s="764"/>
      <c r="Z23" s="764"/>
      <c r="AA23" s="764"/>
      <c r="AB23" s="764"/>
      <c r="AC23" s="393"/>
      <c r="AD23" s="393"/>
      <c r="AE23" s="393"/>
      <c r="AF23" s="393"/>
      <c r="AG23" s="393">
        <f>'Дод.1.1'!D97</f>
        <v>81000</v>
      </c>
      <c r="AH23" s="393"/>
      <c r="AI23" s="393"/>
      <c r="AJ23" s="393"/>
      <c r="AK23" s="393">
        <f>'Дод.1.1'!E97</f>
        <v>35000</v>
      </c>
      <c r="AL23" s="507">
        <f t="shared" si="0"/>
        <v>116000</v>
      </c>
      <c r="AM23" s="488"/>
      <c r="AN23" s="393">
        <f t="shared" si="4"/>
        <v>0</v>
      </c>
      <c r="AO23" s="393">
        <f t="shared" si="5"/>
        <v>0</v>
      </c>
      <c r="AP23" s="393">
        <f t="shared" si="6"/>
        <v>0</v>
      </c>
      <c r="AQ23" s="393">
        <f>AR23+30000+40000</f>
        <v>850912</v>
      </c>
      <c r="AR23" s="393">
        <f t="shared" si="7"/>
        <v>780912</v>
      </c>
      <c r="AS23" s="393">
        <v>329467</v>
      </c>
      <c r="AT23" s="393">
        <v>451445</v>
      </c>
      <c r="AU23" s="393"/>
      <c r="AV23" s="393"/>
      <c r="AW23" s="393">
        <f>AX23+50000+100000</f>
        <v>300000</v>
      </c>
      <c r="AX23" s="393">
        <f t="shared" si="8"/>
        <v>150000</v>
      </c>
      <c r="AY23" s="393"/>
      <c r="AZ23" s="393">
        <v>150000</v>
      </c>
      <c r="BA23" s="507">
        <f t="shared" si="9"/>
        <v>1150912</v>
      </c>
      <c r="BB23" s="48"/>
      <c r="BC23" s="49"/>
    </row>
    <row r="24" spans="1:55" s="20" customFormat="1" ht="40.5" customHeight="1">
      <c r="A24" s="658" t="s">
        <v>483</v>
      </c>
      <c r="B24" s="510" t="s">
        <v>729</v>
      </c>
      <c r="C24" s="393"/>
      <c r="D24" s="393"/>
      <c r="E24" s="506">
        <f t="shared" si="1"/>
        <v>0</v>
      </c>
      <c r="F24" s="393"/>
      <c r="G24" s="680"/>
      <c r="H24" s="393"/>
      <c r="I24" s="393"/>
      <c r="J24" s="393"/>
      <c r="K24" s="393"/>
      <c r="L24" s="393"/>
      <c r="M24" s="393">
        <f t="shared" si="2"/>
        <v>0</v>
      </c>
      <c r="N24" s="393"/>
      <c r="O24" s="393"/>
      <c r="P24" s="393"/>
      <c r="Q24" s="393"/>
      <c r="R24" s="764">
        <f t="shared" si="3"/>
        <v>0</v>
      </c>
      <c r="S24" s="764"/>
      <c r="T24" s="764"/>
      <c r="U24" s="764"/>
      <c r="V24" s="764"/>
      <c r="W24" s="764"/>
      <c r="X24" s="764"/>
      <c r="Y24" s="764"/>
      <c r="Z24" s="764"/>
      <c r="AA24" s="764"/>
      <c r="AB24" s="764"/>
      <c r="AC24" s="393"/>
      <c r="AD24" s="393"/>
      <c r="AE24" s="393"/>
      <c r="AF24" s="393"/>
      <c r="AG24" s="393"/>
      <c r="AH24" s="393"/>
      <c r="AI24" s="393"/>
      <c r="AJ24" s="393"/>
      <c r="AK24" s="393"/>
      <c r="AL24" s="507">
        <f t="shared" si="0"/>
        <v>0</v>
      </c>
      <c r="AM24" s="488"/>
      <c r="AN24" s="393">
        <f t="shared" si="4"/>
        <v>0</v>
      </c>
      <c r="AO24" s="393">
        <f t="shared" si="5"/>
        <v>0</v>
      </c>
      <c r="AP24" s="393">
        <f t="shared" si="6"/>
        <v>0</v>
      </c>
      <c r="AQ24" s="393">
        <f>AR24+10000</f>
        <v>545450</v>
      </c>
      <c r="AR24" s="393">
        <f t="shared" si="7"/>
        <v>535450</v>
      </c>
      <c r="AS24" s="393">
        <v>125029</v>
      </c>
      <c r="AT24" s="393">
        <v>410421</v>
      </c>
      <c r="AU24" s="393"/>
      <c r="AV24" s="393"/>
      <c r="AW24" s="393">
        <f t="shared" si="10"/>
        <v>0</v>
      </c>
      <c r="AX24" s="393">
        <f t="shared" si="8"/>
        <v>0</v>
      </c>
      <c r="AY24" s="393"/>
      <c r="AZ24" s="393"/>
      <c r="BA24" s="507">
        <f t="shared" si="9"/>
        <v>545450</v>
      </c>
      <c r="BB24" s="48"/>
      <c r="BC24" s="49"/>
    </row>
    <row r="25" spans="1:55" s="20" customFormat="1" ht="40.5" customHeight="1">
      <c r="A25" s="658" t="s">
        <v>484</v>
      </c>
      <c r="B25" s="510" t="s">
        <v>730</v>
      </c>
      <c r="C25" s="393"/>
      <c r="D25" s="393"/>
      <c r="E25" s="506">
        <f t="shared" si="1"/>
        <v>0</v>
      </c>
      <c r="F25" s="393"/>
      <c r="G25" s="680"/>
      <c r="H25" s="393"/>
      <c r="I25" s="393"/>
      <c r="J25" s="393"/>
      <c r="K25" s="393"/>
      <c r="L25" s="393"/>
      <c r="M25" s="393">
        <f t="shared" si="2"/>
        <v>0</v>
      </c>
      <c r="N25" s="393"/>
      <c r="O25" s="393"/>
      <c r="P25" s="393"/>
      <c r="Q25" s="393"/>
      <c r="R25" s="764">
        <f t="shared" si="3"/>
        <v>0</v>
      </c>
      <c r="S25" s="764"/>
      <c r="T25" s="764"/>
      <c r="U25" s="764"/>
      <c r="V25" s="764"/>
      <c r="W25" s="764"/>
      <c r="X25" s="764"/>
      <c r="Y25" s="764"/>
      <c r="Z25" s="764"/>
      <c r="AA25" s="764"/>
      <c r="AB25" s="764"/>
      <c r="AC25" s="393"/>
      <c r="AD25" s="393"/>
      <c r="AE25" s="393"/>
      <c r="AF25" s="393"/>
      <c r="AG25" s="393">
        <f>'Дод.1.1'!D126</f>
        <v>248187</v>
      </c>
      <c r="AH25" s="393"/>
      <c r="AI25" s="393"/>
      <c r="AJ25" s="393"/>
      <c r="AK25" s="393">
        <f>'Дод.1.1'!E126</f>
        <v>298000</v>
      </c>
      <c r="AL25" s="507">
        <f t="shared" si="0"/>
        <v>546187</v>
      </c>
      <c r="AM25" s="488"/>
      <c r="AN25" s="393">
        <f t="shared" si="4"/>
        <v>0</v>
      </c>
      <c r="AO25" s="393">
        <f t="shared" si="5"/>
        <v>0</v>
      </c>
      <c r="AP25" s="393">
        <f t="shared" si="6"/>
        <v>0</v>
      </c>
      <c r="AQ25" s="393">
        <f>AR25+3000+9600+20000+25000+30000</f>
        <v>3021458</v>
      </c>
      <c r="AR25" s="393">
        <f t="shared" si="7"/>
        <v>2933858</v>
      </c>
      <c r="AS25" s="393">
        <v>2283807</v>
      </c>
      <c r="AT25" s="393">
        <v>650051</v>
      </c>
      <c r="AU25" s="393"/>
      <c r="AV25" s="393"/>
      <c r="AW25" s="393">
        <f>25000+35000</f>
        <v>60000</v>
      </c>
      <c r="AX25" s="393">
        <f t="shared" si="8"/>
        <v>0</v>
      </c>
      <c r="AY25" s="393"/>
      <c r="AZ25" s="393"/>
      <c r="BA25" s="507">
        <f t="shared" si="9"/>
        <v>3081458</v>
      </c>
      <c r="BB25" s="48"/>
      <c r="BC25" s="49"/>
    </row>
    <row r="26" spans="1:55" s="20" customFormat="1" ht="39" customHeight="1">
      <c r="A26" s="486" t="s">
        <v>485</v>
      </c>
      <c r="B26" s="510" t="s">
        <v>731</v>
      </c>
      <c r="C26" s="487"/>
      <c r="D26" s="487"/>
      <c r="E26" s="506">
        <f t="shared" si="1"/>
        <v>0</v>
      </c>
      <c r="F26" s="393"/>
      <c r="G26" s="680"/>
      <c r="H26" s="487"/>
      <c r="I26" s="487"/>
      <c r="J26" s="487"/>
      <c r="K26" s="487"/>
      <c r="L26" s="487"/>
      <c r="M26" s="393">
        <f t="shared" si="2"/>
        <v>0</v>
      </c>
      <c r="N26" s="487"/>
      <c r="O26" s="487"/>
      <c r="P26" s="487"/>
      <c r="Q26" s="487"/>
      <c r="R26" s="764">
        <f t="shared" si="3"/>
        <v>0</v>
      </c>
      <c r="S26" s="765"/>
      <c r="T26" s="765"/>
      <c r="U26" s="765"/>
      <c r="V26" s="765"/>
      <c r="W26" s="765"/>
      <c r="X26" s="765"/>
      <c r="Y26" s="765"/>
      <c r="Z26" s="765"/>
      <c r="AA26" s="765"/>
      <c r="AB26" s="765"/>
      <c r="AC26" s="487"/>
      <c r="AD26" s="487"/>
      <c r="AE26" s="487"/>
      <c r="AF26" s="487"/>
      <c r="AG26" s="487">
        <f>'Дод.1.1'!D101</f>
        <v>15676</v>
      </c>
      <c r="AH26" s="487"/>
      <c r="AI26" s="487"/>
      <c r="AJ26" s="487"/>
      <c r="AK26" s="487">
        <f>'Дод.1.1'!E101</f>
        <v>5000</v>
      </c>
      <c r="AL26" s="507">
        <f t="shared" si="0"/>
        <v>20676</v>
      </c>
      <c r="AM26" s="488"/>
      <c r="AN26" s="393">
        <f t="shared" si="4"/>
        <v>0</v>
      </c>
      <c r="AO26" s="393">
        <f t="shared" si="5"/>
        <v>0</v>
      </c>
      <c r="AP26" s="393">
        <f t="shared" si="6"/>
        <v>0</v>
      </c>
      <c r="AQ26" s="393">
        <f>AR26+40000+15000+10000+35204</f>
        <v>411968</v>
      </c>
      <c r="AR26" s="393">
        <f t="shared" si="7"/>
        <v>311764</v>
      </c>
      <c r="AS26" s="393">
        <v>93336</v>
      </c>
      <c r="AT26" s="393">
        <v>218428</v>
      </c>
      <c r="AU26" s="393"/>
      <c r="AV26" s="393"/>
      <c r="AW26" s="393">
        <f t="shared" si="10"/>
        <v>0</v>
      </c>
      <c r="AX26" s="393">
        <f t="shared" si="8"/>
        <v>0</v>
      </c>
      <c r="AY26" s="393"/>
      <c r="AZ26" s="393"/>
      <c r="BA26" s="507">
        <f t="shared" si="9"/>
        <v>411968</v>
      </c>
      <c r="BB26" s="48"/>
      <c r="BC26" s="49"/>
    </row>
    <row r="27" spans="1:55" s="20" customFormat="1" ht="39" customHeight="1">
      <c r="A27" s="658" t="s">
        <v>311</v>
      </c>
      <c r="B27" s="510" t="s">
        <v>732</v>
      </c>
      <c r="C27" s="393"/>
      <c r="D27" s="393"/>
      <c r="E27" s="506">
        <f t="shared" si="1"/>
        <v>0</v>
      </c>
      <c r="F27" s="393"/>
      <c r="G27" s="680"/>
      <c r="H27" s="393"/>
      <c r="I27" s="393"/>
      <c r="J27" s="393"/>
      <c r="K27" s="393"/>
      <c r="L27" s="393"/>
      <c r="M27" s="393">
        <f t="shared" si="2"/>
        <v>0</v>
      </c>
      <c r="N27" s="393"/>
      <c r="O27" s="393"/>
      <c r="P27" s="393"/>
      <c r="Q27" s="393"/>
      <c r="R27" s="764">
        <f t="shared" si="3"/>
        <v>0</v>
      </c>
      <c r="S27" s="764"/>
      <c r="T27" s="764"/>
      <c r="U27" s="764"/>
      <c r="V27" s="764"/>
      <c r="W27" s="764"/>
      <c r="X27" s="764"/>
      <c r="Y27" s="764"/>
      <c r="Z27" s="764"/>
      <c r="AA27" s="764"/>
      <c r="AB27" s="764"/>
      <c r="AC27" s="393"/>
      <c r="AD27" s="393"/>
      <c r="AE27" s="393"/>
      <c r="AF27" s="393"/>
      <c r="AG27" s="393">
        <f>'Дод.1.1'!D130</f>
        <v>38520</v>
      </c>
      <c r="AH27" s="393"/>
      <c r="AI27" s="393"/>
      <c r="AJ27" s="393"/>
      <c r="AK27" s="393">
        <f>'Дод.1.1'!E130</f>
        <v>0</v>
      </c>
      <c r="AL27" s="507">
        <f t="shared" si="0"/>
        <v>38520</v>
      </c>
      <c r="AM27" s="488"/>
      <c r="AN27" s="393">
        <f t="shared" si="4"/>
        <v>0</v>
      </c>
      <c r="AO27" s="393">
        <f t="shared" si="5"/>
        <v>0</v>
      </c>
      <c r="AP27" s="393">
        <f t="shared" si="6"/>
        <v>0</v>
      </c>
      <c r="AQ27" s="393">
        <f>AR27+80000</f>
        <v>459884</v>
      </c>
      <c r="AR27" s="393">
        <f t="shared" si="7"/>
        <v>379884</v>
      </c>
      <c r="AS27" s="393">
        <v>144580</v>
      </c>
      <c r="AT27" s="393">
        <v>235304</v>
      </c>
      <c r="AU27" s="393"/>
      <c r="AV27" s="393"/>
      <c r="AW27" s="393">
        <f t="shared" si="10"/>
        <v>0</v>
      </c>
      <c r="AX27" s="393">
        <f t="shared" si="8"/>
        <v>0</v>
      </c>
      <c r="AY27" s="393"/>
      <c r="AZ27" s="393"/>
      <c r="BA27" s="507">
        <f t="shared" si="9"/>
        <v>459884</v>
      </c>
      <c r="BB27" s="48"/>
      <c r="BC27" s="49"/>
    </row>
    <row r="28" spans="1:55" s="20" customFormat="1" ht="60" customHeight="1">
      <c r="A28" s="658" t="s">
        <v>486</v>
      </c>
      <c r="B28" s="510" t="s">
        <v>816</v>
      </c>
      <c r="C28" s="393"/>
      <c r="D28" s="393">
        <f>14328+99187</f>
        <v>113515</v>
      </c>
      <c r="E28" s="506">
        <f t="shared" si="1"/>
        <v>113515</v>
      </c>
      <c r="F28" s="393"/>
      <c r="G28" s="680"/>
      <c r="H28" s="393"/>
      <c r="I28" s="393"/>
      <c r="J28" s="393"/>
      <c r="K28" s="393"/>
      <c r="L28" s="393"/>
      <c r="M28" s="393">
        <f t="shared" si="2"/>
        <v>0</v>
      </c>
      <c r="N28" s="393"/>
      <c r="O28" s="393"/>
      <c r="P28" s="393"/>
      <c r="Q28" s="393"/>
      <c r="R28" s="764">
        <f t="shared" si="3"/>
        <v>0</v>
      </c>
      <c r="S28" s="764"/>
      <c r="T28" s="764"/>
      <c r="U28" s="764"/>
      <c r="V28" s="764"/>
      <c r="W28" s="764"/>
      <c r="X28" s="764"/>
      <c r="Y28" s="764"/>
      <c r="Z28" s="764"/>
      <c r="AA28" s="764">
        <v>28000</v>
      </c>
      <c r="AB28" s="764"/>
      <c r="AC28" s="393">
        <f>1923028+344687+2900</f>
        <v>2270615</v>
      </c>
      <c r="AD28" s="393">
        <v>2900</v>
      </c>
      <c r="AE28" s="393"/>
      <c r="AF28" s="393"/>
      <c r="AG28" s="393">
        <f>'Дод.1.1'!D161</f>
        <v>1509758</v>
      </c>
      <c r="AH28" s="393"/>
      <c r="AI28" s="393"/>
      <c r="AJ28" s="393"/>
      <c r="AK28" s="393">
        <f>'Дод.1.1'!E161</f>
        <v>1030000</v>
      </c>
      <c r="AL28" s="507">
        <f t="shared" si="0"/>
        <v>4951888</v>
      </c>
      <c r="AM28" s="488"/>
      <c r="AN28" s="393">
        <f t="shared" si="4"/>
        <v>0</v>
      </c>
      <c r="AO28" s="393">
        <f t="shared" si="5"/>
        <v>0</v>
      </c>
      <c r="AP28" s="393">
        <f t="shared" si="6"/>
        <v>0</v>
      </c>
      <c r="AQ28" s="393">
        <f>AR28</f>
        <v>0</v>
      </c>
      <c r="AR28" s="393">
        <f t="shared" si="7"/>
        <v>0</v>
      </c>
      <c r="AS28" s="393"/>
      <c r="AT28" s="393"/>
      <c r="AU28" s="393"/>
      <c r="AV28" s="393"/>
      <c r="AW28" s="393">
        <f t="shared" si="10"/>
        <v>0</v>
      </c>
      <c r="AX28" s="393">
        <f t="shared" si="8"/>
        <v>0</v>
      </c>
      <c r="AY28" s="393"/>
      <c r="AZ28" s="393"/>
      <c r="BA28" s="507">
        <f t="shared" si="9"/>
        <v>0</v>
      </c>
      <c r="BB28" s="48"/>
      <c r="BC28" s="49"/>
    </row>
    <row r="29" spans="1:55" s="20" customFormat="1" ht="60.75" customHeight="1">
      <c r="A29" s="658" t="s">
        <v>312</v>
      </c>
      <c r="B29" s="510" t="s">
        <v>733</v>
      </c>
      <c r="C29" s="393"/>
      <c r="D29" s="393"/>
      <c r="E29" s="506">
        <f t="shared" si="1"/>
        <v>0</v>
      </c>
      <c r="F29" s="393"/>
      <c r="G29" s="680"/>
      <c r="H29" s="393"/>
      <c r="I29" s="393"/>
      <c r="J29" s="393"/>
      <c r="K29" s="393"/>
      <c r="L29" s="393"/>
      <c r="M29" s="393">
        <f t="shared" si="2"/>
        <v>0</v>
      </c>
      <c r="N29" s="393"/>
      <c r="O29" s="393"/>
      <c r="P29" s="393"/>
      <c r="Q29" s="393"/>
      <c r="R29" s="764">
        <f t="shared" si="3"/>
        <v>0</v>
      </c>
      <c r="S29" s="764"/>
      <c r="T29" s="764"/>
      <c r="U29" s="764"/>
      <c r="V29" s="764"/>
      <c r="W29" s="764"/>
      <c r="X29" s="764"/>
      <c r="Y29" s="764"/>
      <c r="Z29" s="764"/>
      <c r="AA29" s="764"/>
      <c r="AB29" s="764"/>
      <c r="AC29" s="393"/>
      <c r="AD29" s="393"/>
      <c r="AE29" s="393"/>
      <c r="AF29" s="393"/>
      <c r="AG29" s="393"/>
      <c r="AH29" s="393"/>
      <c r="AI29" s="393"/>
      <c r="AJ29" s="393"/>
      <c r="AK29" s="393"/>
      <c r="AL29" s="507">
        <f t="shared" si="0"/>
        <v>0</v>
      </c>
      <c r="AM29" s="488"/>
      <c r="AN29" s="393">
        <f t="shared" si="4"/>
        <v>0</v>
      </c>
      <c r="AO29" s="393">
        <f t="shared" si="5"/>
        <v>0</v>
      </c>
      <c r="AP29" s="393">
        <f t="shared" si="6"/>
        <v>0</v>
      </c>
      <c r="AQ29" s="393">
        <f>AR29</f>
        <v>282522</v>
      </c>
      <c r="AR29" s="393">
        <f t="shared" si="7"/>
        <v>282522</v>
      </c>
      <c r="AS29" s="393">
        <v>83531</v>
      </c>
      <c r="AT29" s="393">
        <v>198991</v>
      </c>
      <c r="AU29" s="393"/>
      <c r="AV29" s="393"/>
      <c r="AW29" s="393">
        <f t="shared" si="10"/>
        <v>0</v>
      </c>
      <c r="AX29" s="393">
        <f t="shared" si="8"/>
        <v>0</v>
      </c>
      <c r="AY29" s="393"/>
      <c r="AZ29" s="393"/>
      <c r="BA29" s="507">
        <f t="shared" si="9"/>
        <v>282522</v>
      </c>
      <c r="BB29" s="48"/>
      <c r="BC29" s="49"/>
    </row>
    <row r="30" spans="1:55" s="20" customFormat="1" ht="39.75" customHeight="1">
      <c r="A30" s="658" t="s">
        <v>313</v>
      </c>
      <c r="B30" s="510" t="s">
        <v>734</v>
      </c>
      <c r="C30" s="393"/>
      <c r="D30" s="393"/>
      <c r="E30" s="506">
        <f t="shared" si="1"/>
        <v>0</v>
      </c>
      <c r="F30" s="393"/>
      <c r="G30" s="680"/>
      <c r="H30" s="393"/>
      <c r="I30" s="393"/>
      <c r="J30" s="393"/>
      <c r="K30" s="393"/>
      <c r="L30" s="393"/>
      <c r="M30" s="393">
        <f t="shared" si="2"/>
        <v>0</v>
      </c>
      <c r="N30" s="393"/>
      <c r="O30" s="393"/>
      <c r="P30" s="393"/>
      <c r="Q30" s="393"/>
      <c r="R30" s="764">
        <f t="shared" si="3"/>
        <v>0</v>
      </c>
      <c r="S30" s="764"/>
      <c r="T30" s="764"/>
      <c r="U30" s="764"/>
      <c r="V30" s="764"/>
      <c r="W30" s="764"/>
      <c r="X30" s="764"/>
      <c r="Y30" s="764"/>
      <c r="Z30" s="764"/>
      <c r="AA30" s="764"/>
      <c r="AB30" s="764"/>
      <c r="AC30" s="393"/>
      <c r="AD30" s="393"/>
      <c r="AE30" s="393"/>
      <c r="AF30" s="393"/>
      <c r="AG30" s="393">
        <f>'Дод.1.1'!D187</f>
        <v>41500</v>
      </c>
      <c r="AH30" s="393"/>
      <c r="AI30" s="393"/>
      <c r="AJ30" s="393"/>
      <c r="AK30" s="393">
        <f>'Дод.1.1'!E187</f>
        <v>27350</v>
      </c>
      <c r="AL30" s="507">
        <f t="shared" si="0"/>
        <v>68850</v>
      </c>
      <c r="AM30" s="488"/>
      <c r="AN30" s="393">
        <f t="shared" si="4"/>
        <v>0</v>
      </c>
      <c r="AO30" s="393">
        <f t="shared" si="5"/>
        <v>0</v>
      </c>
      <c r="AP30" s="393">
        <f t="shared" si="6"/>
        <v>0</v>
      </c>
      <c r="AQ30" s="393">
        <f>AR30</f>
        <v>2003603</v>
      </c>
      <c r="AR30" s="393">
        <f t="shared" si="7"/>
        <v>2003603</v>
      </c>
      <c r="AS30" s="393">
        <v>1806919</v>
      </c>
      <c r="AT30" s="393">
        <v>196684</v>
      </c>
      <c r="AU30" s="393"/>
      <c r="AV30" s="393"/>
      <c r="AW30" s="393">
        <f t="shared" si="10"/>
        <v>150000</v>
      </c>
      <c r="AX30" s="393">
        <f t="shared" si="8"/>
        <v>150000</v>
      </c>
      <c r="AY30" s="393"/>
      <c r="AZ30" s="393">
        <v>150000</v>
      </c>
      <c r="BA30" s="507">
        <f t="shared" si="9"/>
        <v>2153603</v>
      </c>
      <c r="BB30" s="48"/>
      <c r="BC30" s="49"/>
    </row>
    <row r="31" spans="1:55" s="20" customFormat="1" ht="40.5" customHeight="1">
      <c r="A31" s="658" t="s">
        <v>314</v>
      </c>
      <c r="B31" s="510" t="s">
        <v>735</v>
      </c>
      <c r="C31" s="393"/>
      <c r="D31" s="393"/>
      <c r="E31" s="506">
        <f t="shared" si="1"/>
        <v>0</v>
      </c>
      <c r="F31" s="393"/>
      <c r="G31" s="680"/>
      <c r="H31" s="393"/>
      <c r="I31" s="393"/>
      <c r="J31" s="393"/>
      <c r="K31" s="393"/>
      <c r="L31" s="393"/>
      <c r="M31" s="393">
        <f t="shared" si="2"/>
        <v>0</v>
      </c>
      <c r="N31" s="393"/>
      <c r="O31" s="393"/>
      <c r="P31" s="393"/>
      <c r="Q31" s="393"/>
      <c r="R31" s="764">
        <f t="shared" si="3"/>
        <v>0</v>
      </c>
      <c r="S31" s="764"/>
      <c r="T31" s="764"/>
      <c r="U31" s="764"/>
      <c r="V31" s="764"/>
      <c r="W31" s="764"/>
      <c r="X31" s="764"/>
      <c r="Y31" s="764"/>
      <c r="Z31" s="764"/>
      <c r="AA31" s="764"/>
      <c r="AB31" s="764"/>
      <c r="AC31" s="393"/>
      <c r="AD31" s="393"/>
      <c r="AE31" s="393"/>
      <c r="AF31" s="393"/>
      <c r="AG31" s="393">
        <f>'Дод.1.1'!D174</f>
        <v>92400</v>
      </c>
      <c r="AH31" s="393"/>
      <c r="AI31" s="393"/>
      <c r="AJ31" s="393"/>
      <c r="AK31" s="393">
        <f>'Дод.1.1'!E174</f>
        <v>30000</v>
      </c>
      <c r="AL31" s="507">
        <f t="shared" si="0"/>
        <v>122400</v>
      </c>
      <c r="AM31" s="488"/>
      <c r="AN31" s="393">
        <f t="shared" si="4"/>
        <v>0</v>
      </c>
      <c r="AO31" s="393">
        <f t="shared" si="5"/>
        <v>0</v>
      </c>
      <c r="AP31" s="393">
        <f t="shared" si="6"/>
        <v>0</v>
      </c>
      <c r="AQ31" s="393">
        <f>AR31+350000+32826</f>
        <v>3207068</v>
      </c>
      <c r="AR31" s="393">
        <f t="shared" si="7"/>
        <v>2824242</v>
      </c>
      <c r="AS31" s="393">
        <v>2349354</v>
      </c>
      <c r="AT31" s="393">
        <v>474888</v>
      </c>
      <c r="AU31" s="393"/>
      <c r="AV31" s="393"/>
      <c r="AW31" s="393">
        <f t="shared" si="10"/>
        <v>0</v>
      </c>
      <c r="AX31" s="393">
        <f t="shared" si="8"/>
        <v>0</v>
      </c>
      <c r="AY31" s="393"/>
      <c r="AZ31" s="393"/>
      <c r="BA31" s="507">
        <f t="shared" si="9"/>
        <v>3207068</v>
      </c>
      <c r="BB31" s="48"/>
      <c r="BC31" s="49"/>
    </row>
    <row r="32" spans="1:55" s="20" customFormat="1" ht="57.75" customHeight="1">
      <c r="A32" s="658" t="s">
        <v>488</v>
      </c>
      <c r="B32" s="510" t="s">
        <v>817</v>
      </c>
      <c r="C32" s="393"/>
      <c r="D32" s="393">
        <f>120000+41620</f>
        <v>161620</v>
      </c>
      <c r="E32" s="506">
        <f t="shared" si="1"/>
        <v>161620</v>
      </c>
      <c r="F32" s="393"/>
      <c r="G32" s="680"/>
      <c r="H32" s="393"/>
      <c r="I32" s="393"/>
      <c r="J32" s="393"/>
      <c r="K32" s="393"/>
      <c r="L32" s="393"/>
      <c r="M32" s="393">
        <f t="shared" si="2"/>
        <v>0</v>
      </c>
      <c r="N32" s="393"/>
      <c r="O32" s="393"/>
      <c r="P32" s="393"/>
      <c r="Q32" s="393"/>
      <c r="R32" s="764">
        <f t="shared" si="3"/>
        <v>0</v>
      </c>
      <c r="S32" s="764"/>
      <c r="T32" s="764"/>
      <c r="U32" s="764"/>
      <c r="V32" s="764"/>
      <c r="W32" s="764"/>
      <c r="X32" s="764"/>
      <c r="Y32" s="764"/>
      <c r="Z32" s="764"/>
      <c r="AA32" s="764">
        <v>78693.7</v>
      </c>
      <c r="AB32" s="764"/>
      <c r="AC32" s="393">
        <f>7659931+1054469+12200</f>
        <v>8726600</v>
      </c>
      <c r="AD32" s="393">
        <v>12200</v>
      </c>
      <c r="AE32" s="393"/>
      <c r="AF32" s="393"/>
      <c r="AG32" s="393">
        <f>'Дод.1.1'!D182</f>
        <v>2164654</v>
      </c>
      <c r="AH32" s="393"/>
      <c r="AI32" s="393">
        <v>99800</v>
      </c>
      <c r="AJ32" s="393"/>
      <c r="AK32" s="393">
        <f>'Дод.1.1'!E182</f>
        <v>1000000</v>
      </c>
      <c r="AL32" s="507">
        <f t="shared" si="0"/>
        <v>12231367.7</v>
      </c>
      <c r="AM32" s="488"/>
      <c r="AN32" s="393">
        <f t="shared" si="4"/>
        <v>0</v>
      </c>
      <c r="AO32" s="393">
        <f t="shared" si="5"/>
        <v>0</v>
      </c>
      <c r="AP32" s="393">
        <f t="shared" si="6"/>
        <v>0</v>
      </c>
      <c r="AQ32" s="393">
        <f>2213+42350</f>
        <v>44563</v>
      </c>
      <c r="AR32" s="393">
        <f t="shared" si="7"/>
        <v>0</v>
      </c>
      <c r="AS32" s="393"/>
      <c r="AT32" s="393"/>
      <c r="AU32" s="393"/>
      <c r="AV32" s="393"/>
      <c r="AW32" s="393"/>
      <c r="AX32" s="393">
        <f t="shared" si="8"/>
        <v>0</v>
      </c>
      <c r="AY32" s="393"/>
      <c r="AZ32" s="393">
        <f>150000+150000-150000-150000</f>
        <v>0</v>
      </c>
      <c r="BA32" s="507">
        <f t="shared" si="9"/>
        <v>44563</v>
      </c>
      <c r="BB32" s="48"/>
      <c r="BC32" s="49"/>
    </row>
    <row r="33" spans="1:55" s="20" customFormat="1" ht="61.5" customHeight="1">
      <c r="A33" s="658" t="s">
        <v>489</v>
      </c>
      <c r="B33" s="510" t="s">
        <v>818</v>
      </c>
      <c r="C33" s="393"/>
      <c r="D33" s="393">
        <f>250000+2139</f>
        <v>252139</v>
      </c>
      <c r="E33" s="506">
        <f t="shared" si="1"/>
        <v>252139</v>
      </c>
      <c r="F33" s="393"/>
      <c r="G33" s="680"/>
      <c r="H33" s="393"/>
      <c r="I33" s="393"/>
      <c r="J33" s="393"/>
      <c r="K33" s="393"/>
      <c r="L33" s="393"/>
      <c r="M33" s="393">
        <f t="shared" si="2"/>
        <v>0</v>
      </c>
      <c r="N33" s="393"/>
      <c r="O33" s="393"/>
      <c r="P33" s="393"/>
      <c r="Q33" s="393"/>
      <c r="R33" s="764">
        <f t="shared" si="3"/>
        <v>0</v>
      </c>
      <c r="S33" s="764"/>
      <c r="T33" s="764"/>
      <c r="U33" s="764"/>
      <c r="V33" s="764"/>
      <c r="W33" s="764"/>
      <c r="X33" s="764"/>
      <c r="Y33" s="764"/>
      <c r="Z33" s="764"/>
      <c r="AA33" s="764"/>
      <c r="AB33" s="764"/>
      <c r="AC33" s="393">
        <f>3957645+485255+7300</f>
        <v>4450200</v>
      </c>
      <c r="AD33" s="393">
        <v>7300</v>
      </c>
      <c r="AE33" s="393"/>
      <c r="AF33" s="393"/>
      <c r="AG33" s="393">
        <f>'Дод.1.1'!D196</f>
        <v>42725</v>
      </c>
      <c r="AH33" s="393"/>
      <c r="AI33" s="393"/>
      <c r="AJ33" s="393"/>
      <c r="AK33" s="393"/>
      <c r="AL33" s="507">
        <f t="shared" si="0"/>
        <v>4745064</v>
      </c>
      <c r="AM33" s="488"/>
      <c r="AN33" s="393">
        <f t="shared" si="4"/>
        <v>0</v>
      </c>
      <c r="AO33" s="393">
        <f t="shared" si="5"/>
        <v>0</v>
      </c>
      <c r="AP33" s="393">
        <f t="shared" si="6"/>
        <v>0</v>
      </c>
      <c r="AQ33" s="393">
        <f>AR33</f>
        <v>0</v>
      </c>
      <c r="AR33" s="393">
        <f t="shared" si="7"/>
        <v>0</v>
      </c>
      <c r="AS33" s="393"/>
      <c r="AT33" s="393"/>
      <c r="AU33" s="393"/>
      <c r="AV33" s="393"/>
      <c r="AW33" s="393">
        <f t="shared" si="10"/>
        <v>0</v>
      </c>
      <c r="AX33" s="393">
        <f t="shared" si="8"/>
        <v>0</v>
      </c>
      <c r="AY33" s="393"/>
      <c r="AZ33" s="393"/>
      <c r="BA33" s="507">
        <f t="shared" si="9"/>
        <v>0</v>
      </c>
      <c r="BB33" s="48"/>
      <c r="BC33" s="49"/>
    </row>
    <row r="34" spans="1:55" s="20" customFormat="1" ht="37.5" customHeight="1">
      <c r="A34" s="658" t="s">
        <v>315</v>
      </c>
      <c r="B34" s="510" t="s">
        <v>736</v>
      </c>
      <c r="C34" s="393"/>
      <c r="D34" s="393"/>
      <c r="E34" s="506">
        <f t="shared" si="1"/>
        <v>0</v>
      </c>
      <c r="F34" s="393"/>
      <c r="G34" s="680"/>
      <c r="H34" s="393"/>
      <c r="I34" s="393"/>
      <c r="J34" s="393"/>
      <c r="K34" s="393"/>
      <c r="L34" s="393"/>
      <c r="M34" s="393">
        <f t="shared" si="2"/>
        <v>0</v>
      </c>
      <c r="N34" s="393"/>
      <c r="O34" s="393"/>
      <c r="P34" s="393"/>
      <c r="Q34" s="393"/>
      <c r="R34" s="764">
        <f t="shared" si="3"/>
        <v>0</v>
      </c>
      <c r="S34" s="764"/>
      <c r="T34" s="764"/>
      <c r="U34" s="764"/>
      <c r="V34" s="764"/>
      <c r="W34" s="764"/>
      <c r="X34" s="764"/>
      <c r="Y34" s="764"/>
      <c r="Z34" s="764"/>
      <c r="AA34" s="764"/>
      <c r="AB34" s="764"/>
      <c r="AC34" s="393"/>
      <c r="AD34" s="393"/>
      <c r="AE34" s="393"/>
      <c r="AF34" s="393"/>
      <c r="AG34" s="393">
        <f>'Дод.1.1'!D192</f>
        <v>22073</v>
      </c>
      <c r="AH34" s="393"/>
      <c r="AI34" s="393"/>
      <c r="AJ34" s="393">
        <f>50000-35000</f>
        <v>15000</v>
      </c>
      <c r="AK34" s="393">
        <f>'Дод.1.1'!E192</f>
        <v>50000</v>
      </c>
      <c r="AL34" s="507">
        <f t="shared" si="0"/>
        <v>87073</v>
      </c>
      <c r="AM34" s="488"/>
      <c r="AN34" s="393">
        <f t="shared" si="4"/>
        <v>0</v>
      </c>
      <c r="AO34" s="393">
        <f t="shared" si="5"/>
        <v>0</v>
      </c>
      <c r="AP34" s="393">
        <f t="shared" si="6"/>
        <v>0</v>
      </c>
      <c r="AQ34" s="393">
        <f>AR34+20000+15000</f>
        <v>1710527</v>
      </c>
      <c r="AR34" s="393">
        <f t="shared" si="7"/>
        <v>1675527</v>
      </c>
      <c r="AS34" s="393">
        <v>1219287</v>
      </c>
      <c r="AT34" s="393">
        <v>456240</v>
      </c>
      <c r="AU34" s="393"/>
      <c r="AV34" s="393"/>
      <c r="AW34" s="393">
        <f t="shared" si="10"/>
        <v>0</v>
      </c>
      <c r="AX34" s="393">
        <f t="shared" si="8"/>
        <v>0</v>
      </c>
      <c r="AY34" s="393"/>
      <c r="AZ34" s="393"/>
      <c r="BA34" s="507">
        <f t="shared" si="9"/>
        <v>1710527</v>
      </c>
      <c r="BB34" s="48"/>
      <c r="BC34" s="49"/>
    </row>
    <row r="35" spans="1:55" s="21" customFormat="1" ht="30" customHeight="1">
      <c r="A35" s="658"/>
      <c r="B35" s="509" t="s">
        <v>810</v>
      </c>
      <c r="C35" s="488">
        <f>SUM(C15:C34)</f>
        <v>0</v>
      </c>
      <c r="D35" s="488">
        <f>SUM(D15:D34)</f>
        <v>839240</v>
      </c>
      <c r="E35" s="507">
        <f t="shared" si="1"/>
        <v>839240</v>
      </c>
      <c r="F35" s="488">
        <f>SUM(F15:F34)</f>
        <v>0</v>
      </c>
      <c r="G35" s="488">
        <f>SUM(G15:G34)</f>
        <v>0</v>
      </c>
      <c r="H35" s="488">
        <f>SUM(H15:H34)</f>
        <v>0</v>
      </c>
      <c r="I35" s="488">
        <f>SUM(I15:I34)</f>
        <v>0</v>
      </c>
      <c r="J35" s="488">
        <f>SUM(J15:J34)</f>
        <v>0</v>
      </c>
      <c r="K35" s="488"/>
      <c r="L35" s="488"/>
      <c r="M35" s="488">
        <f aca="true" t="shared" si="11" ref="M35:AC35">SUM(M15:M34)</f>
        <v>15800</v>
      </c>
      <c r="N35" s="488">
        <f t="shared" si="11"/>
        <v>0</v>
      </c>
      <c r="O35" s="488">
        <f>SUM(O15:O34)</f>
        <v>0</v>
      </c>
      <c r="P35" s="488">
        <f t="shared" si="11"/>
        <v>10220</v>
      </c>
      <c r="Q35" s="488">
        <f t="shared" si="11"/>
        <v>5580</v>
      </c>
      <c r="R35" s="766">
        <f t="shared" si="11"/>
        <v>0</v>
      </c>
      <c r="S35" s="766">
        <f t="shared" si="11"/>
        <v>0</v>
      </c>
      <c r="T35" s="766">
        <f t="shared" si="11"/>
        <v>0</v>
      </c>
      <c r="U35" s="766">
        <f t="shared" si="11"/>
        <v>0</v>
      </c>
      <c r="V35" s="766"/>
      <c r="W35" s="766"/>
      <c r="X35" s="766"/>
      <c r="Y35" s="766"/>
      <c r="Z35" s="766"/>
      <c r="AA35" s="766">
        <f t="shared" si="11"/>
        <v>107079.04999999999</v>
      </c>
      <c r="AB35" s="766">
        <f t="shared" si="11"/>
        <v>0</v>
      </c>
      <c r="AC35" s="488">
        <f t="shared" si="11"/>
        <v>18190427</v>
      </c>
      <c r="AD35" s="488">
        <f aca="true" t="shared" si="12" ref="AD35:AK35">SUM(AD15:AD34)</f>
        <v>28212</v>
      </c>
      <c r="AE35" s="488">
        <f t="shared" si="12"/>
        <v>0</v>
      </c>
      <c r="AF35" s="488">
        <f t="shared" si="12"/>
        <v>0</v>
      </c>
      <c r="AG35" s="488">
        <f t="shared" si="12"/>
        <v>5114848</v>
      </c>
      <c r="AH35" s="488">
        <f t="shared" si="12"/>
        <v>0</v>
      </c>
      <c r="AI35" s="488">
        <f t="shared" si="12"/>
        <v>99800</v>
      </c>
      <c r="AJ35" s="488">
        <f t="shared" si="12"/>
        <v>15000</v>
      </c>
      <c r="AK35" s="488">
        <f t="shared" si="12"/>
        <v>2605050</v>
      </c>
      <c r="AL35" s="507">
        <f t="shared" si="0"/>
        <v>26987244.05</v>
      </c>
      <c r="AM35" s="488">
        <f>SUM(AM15:AM34)</f>
        <v>0</v>
      </c>
      <c r="AN35" s="488">
        <f t="shared" si="4"/>
        <v>15800</v>
      </c>
      <c r="AO35" s="488">
        <f t="shared" si="5"/>
        <v>10220</v>
      </c>
      <c r="AP35" s="488">
        <f t="shared" si="6"/>
        <v>5580</v>
      </c>
      <c r="AQ35" s="488">
        <f>SUM(AQ15:AQ34)</f>
        <v>22611534</v>
      </c>
      <c r="AR35" s="488">
        <f>AS35+AT35</f>
        <v>21494777</v>
      </c>
      <c r="AS35" s="488">
        <f>SUM(AS15:AS34)</f>
        <v>15321609</v>
      </c>
      <c r="AT35" s="488">
        <f>SUM(AT15:AT34)</f>
        <v>6173168</v>
      </c>
      <c r="AU35" s="488"/>
      <c r="AV35" s="488"/>
      <c r="AW35" s="488">
        <f>SUM(AW15:AW34)</f>
        <v>1304900</v>
      </c>
      <c r="AX35" s="488">
        <f t="shared" si="8"/>
        <v>350000</v>
      </c>
      <c r="AY35" s="488">
        <f>SUM(AY15:AY34)</f>
        <v>50000</v>
      </c>
      <c r="AZ35" s="488">
        <f>SUM(AZ15:AZ34)</f>
        <v>300000</v>
      </c>
      <c r="BA35" s="507">
        <f t="shared" si="9"/>
        <v>23932234</v>
      </c>
      <c r="BB35" s="244">
        <f>BA35+BA36</f>
        <v>41657435</v>
      </c>
      <c r="BC35" s="49"/>
    </row>
    <row r="36" spans="1:55" s="20" customFormat="1" ht="40.5" customHeight="1">
      <c r="A36" s="486" t="s">
        <v>316</v>
      </c>
      <c r="B36" s="511" t="s">
        <v>737</v>
      </c>
      <c r="C36" s="393"/>
      <c r="D36" s="393"/>
      <c r="E36" s="506">
        <f t="shared" si="1"/>
        <v>0</v>
      </c>
      <c r="F36" s="393"/>
      <c r="G36" s="680"/>
      <c r="H36" s="393"/>
      <c r="I36" s="393"/>
      <c r="J36" s="393"/>
      <c r="K36" s="393"/>
      <c r="L36" s="393"/>
      <c r="M36" s="393">
        <f>N36+P36+Q36</f>
        <v>47400</v>
      </c>
      <c r="N36" s="393"/>
      <c r="O36" s="393"/>
      <c r="P36" s="393">
        <v>30660</v>
      </c>
      <c r="Q36" s="393">
        <v>16740</v>
      </c>
      <c r="R36" s="764">
        <f t="shared" si="3"/>
        <v>0</v>
      </c>
      <c r="S36" s="764"/>
      <c r="T36" s="764"/>
      <c r="U36" s="764"/>
      <c r="V36" s="764"/>
      <c r="W36" s="764"/>
      <c r="X36" s="764"/>
      <c r="Y36" s="764"/>
      <c r="Z36" s="764"/>
      <c r="AA36" s="764"/>
      <c r="AB36" s="764"/>
      <c r="AC36" s="393"/>
      <c r="AD36" s="393"/>
      <c r="AE36" s="393"/>
      <c r="AF36" s="393"/>
      <c r="AG36" s="393">
        <f>'Дод.1.1'!D201</f>
        <v>59873</v>
      </c>
      <c r="AH36" s="393"/>
      <c r="AI36" s="393"/>
      <c r="AJ36" s="393"/>
      <c r="AK36" s="393">
        <f>'Дод.1.1'!E201</f>
        <v>100000</v>
      </c>
      <c r="AL36" s="507">
        <f aca="true" t="shared" si="13" ref="AL36:AL42">E36+F36+G36+H36+I36+J36+M36+AC36+AF36+AG36+AH36+AK36+AA36+AI36+AJ36</f>
        <v>207273</v>
      </c>
      <c r="AM36" s="488"/>
      <c r="AN36" s="393">
        <f t="shared" si="4"/>
        <v>47400</v>
      </c>
      <c r="AO36" s="393">
        <f t="shared" si="5"/>
        <v>30660</v>
      </c>
      <c r="AP36" s="393">
        <f t="shared" si="6"/>
        <v>16740</v>
      </c>
      <c r="AQ36" s="393">
        <f>AR36+20000+37425+6000</f>
        <v>17403801</v>
      </c>
      <c r="AR36" s="393">
        <f t="shared" si="7"/>
        <v>17340376</v>
      </c>
      <c r="AS36" s="393">
        <v>16087890</v>
      </c>
      <c r="AT36" s="393">
        <v>1252486</v>
      </c>
      <c r="AU36" s="393"/>
      <c r="AV36" s="393"/>
      <c r="AW36" s="393">
        <f>150000+34000+90000</f>
        <v>274000</v>
      </c>
      <c r="AX36" s="393">
        <f t="shared" si="8"/>
        <v>0</v>
      </c>
      <c r="AY36" s="393"/>
      <c r="AZ36" s="393"/>
      <c r="BA36" s="507">
        <f t="shared" si="9"/>
        <v>17725201</v>
      </c>
      <c r="BB36" s="48"/>
      <c r="BC36" s="49"/>
    </row>
    <row r="37" spans="1:55" s="21" customFormat="1" ht="39" customHeight="1">
      <c r="A37" s="489"/>
      <c r="B37" s="509" t="s">
        <v>739</v>
      </c>
      <c r="C37" s="488">
        <f>C36</f>
        <v>0</v>
      </c>
      <c r="D37" s="488">
        <f>D36</f>
        <v>0</v>
      </c>
      <c r="E37" s="507"/>
      <c r="F37" s="488">
        <f aca="true" t="shared" si="14" ref="F37:U37">F36</f>
        <v>0</v>
      </c>
      <c r="G37" s="488">
        <f t="shared" si="14"/>
        <v>0</v>
      </c>
      <c r="H37" s="488">
        <f t="shared" si="14"/>
        <v>0</v>
      </c>
      <c r="I37" s="488">
        <f t="shared" si="14"/>
        <v>0</v>
      </c>
      <c r="J37" s="488">
        <f t="shared" si="14"/>
        <v>0</v>
      </c>
      <c r="K37" s="488">
        <f t="shared" si="14"/>
        <v>0</v>
      </c>
      <c r="L37" s="488">
        <f t="shared" si="14"/>
        <v>0</v>
      </c>
      <c r="M37" s="488">
        <f t="shared" si="14"/>
        <v>47400</v>
      </c>
      <c r="N37" s="488">
        <f t="shared" si="14"/>
        <v>0</v>
      </c>
      <c r="O37" s="488">
        <f t="shared" si="14"/>
        <v>0</v>
      </c>
      <c r="P37" s="488">
        <f t="shared" si="14"/>
        <v>30660</v>
      </c>
      <c r="Q37" s="488">
        <f t="shared" si="14"/>
        <v>16740</v>
      </c>
      <c r="R37" s="766">
        <f t="shared" si="14"/>
        <v>0</v>
      </c>
      <c r="S37" s="766">
        <f t="shared" si="14"/>
        <v>0</v>
      </c>
      <c r="T37" s="766">
        <f t="shared" si="14"/>
        <v>0</v>
      </c>
      <c r="U37" s="766">
        <f t="shared" si="14"/>
        <v>0</v>
      </c>
      <c r="V37" s="766"/>
      <c r="W37" s="766"/>
      <c r="X37" s="766"/>
      <c r="Y37" s="766"/>
      <c r="Z37" s="766"/>
      <c r="AA37" s="766"/>
      <c r="AB37" s="766"/>
      <c r="AC37" s="488">
        <f aca="true" t="shared" si="15" ref="AC37:AH37">AC36</f>
        <v>0</v>
      </c>
      <c r="AD37" s="488">
        <f t="shared" si="15"/>
        <v>0</v>
      </c>
      <c r="AE37" s="488">
        <f t="shared" si="15"/>
        <v>0</v>
      </c>
      <c r="AF37" s="488">
        <f t="shared" si="15"/>
        <v>0</v>
      </c>
      <c r="AG37" s="488">
        <f t="shared" si="15"/>
        <v>59873</v>
      </c>
      <c r="AH37" s="488">
        <f t="shared" si="15"/>
        <v>0</v>
      </c>
      <c r="AI37" s="488"/>
      <c r="AJ37" s="488"/>
      <c r="AK37" s="488">
        <f>AK36</f>
        <v>100000</v>
      </c>
      <c r="AL37" s="507">
        <f t="shared" si="13"/>
        <v>207273</v>
      </c>
      <c r="AM37" s="488">
        <f>AM36</f>
        <v>0</v>
      </c>
      <c r="AN37" s="488">
        <f t="shared" si="4"/>
        <v>47400</v>
      </c>
      <c r="AO37" s="488">
        <f t="shared" si="5"/>
        <v>30660</v>
      </c>
      <c r="AP37" s="488">
        <f t="shared" si="6"/>
        <v>16740</v>
      </c>
      <c r="AQ37" s="488">
        <f>AQ36</f>
        <v>17403801</v>
      </c>
      <c r="AR37" s="488">
        <f aca="true" t="shared" si="16" ref="AR37:AZ37">AR36</f>
        <v>17340376</v>
      </c>
      <c r="AS37" s="488">
        <f t="shared" si="16"/>
        <v>16087890</v>
      </c>
      <c r="AT37" s="488">
        <f>AT36</f>
        <v>1252486</v>
      </c>
      <c r="AU37" s="488"/>
      <c r="AV37" s="488"/>
      <c r="AW37" s="488">
        <f t="shared" si="16"/>
        <v>274000</v>
      </c>
      <c r="AX37" s="488">
        <f t="shared" si="16"/>
        <v>0</v>
      </c>
      <c r="AY37" s="488">
        <f t="shared" si="16"/>
        <v>0</v>
      </c>
      <c r="AZ37" s="488">
        <f t="shared" si="16"/>
        <v>0</v>
      </c>
      <c r="BA37" s="507">
        <f t="shared" si="9"/>
        <v>17725201</v>
      </c>
      <c r="BB37" s="244">
        <f>BA37+BA39</f>
        <v>17787201</v>
      </c>
      <c r="BC37" s="49"/>
    </row>
    <row r="38" spans="1:55" s="20" customFormat="1" ht="27" customHeight="1">
      <c r="A38" s="486" t="s">
        <v>455</v>
      </c>
      <c r="B38" s="510" t="s">
        <v>738</v>
      </c>
      <c r="C38" s="393"/>
      <c r="D38" s="393">
        <v>100300</v>
      </c>
      <c r="E38" s="506">
        <f t="shared" si="1"/>
        <v>100300</v>
      </c>
      <c r="F38" s="393"/>
      <c r="G38" s="680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764">
        <f t="shared" si="3"/>
        <v>0</v>
      </c>
      <c r="S38" s="764"/>
      <c r="T38" s="764"/>
      <c r="U38" s="764"/>
      <c r="V38" s="764"/>
      <c r="W38" s="764"/>
      <c r="X38" s="764"/>
      <c r="Y38" s="764"/>
      <c r="Z38" s="764"/>
      <c r="AA38" s="764"/>
      <c r="AB38" s="764"/>
      <c r="AC38" s="393"/>
      <c r="AD38" s="393"/>
      <c r="AE38" s="393"/>
      <c r="AF38" s="393"/>
      <c r="AG38" s="393">
        <f>'Дод.1.1'!D205</f>
        <v>291792</v>
      </c>
      <c r="AH38" s="393"/>
      <c r="AI38" s="393"/>
      <c r="AJ38" s="393"/>
      <c r="AK38" s="393"/>
      <c r="AL38" s="507">
        <f t="shared" si="13"/>
        <v>392092</v>
      </c>
      <c r="AM38" s="488"/>
      <c r="AN38" s="488">
        <f t="shared" si="4"/>
        <v>0</v>
      </c>
      <c r="AO38" s="488">
        <f t="shared" si="5"/>
        <v>0</v>
      </c>
      <c r="AP38" s="488">
        <f t="shared" si="6"/>
        <v>0</v>
      </c>
      <c r="AQ38" s="393">
        <f>AR38</f>
        <v>0</v>
      </c>
      <c r="AR38" s="393"/>
      <c r="AS38" s="393"/>
      <c r="AT38" s="393"/>
      <c r="AU38" s="393"/>
      <c r="AV38" s="393"/>
      <c r="AW38" s="393">
        <f t="shared" si="10"/>
        <v>0</v>
      </c>
      <c r="AX38" s="393"/>
      <c r="AY38" s="393"/>
      <c r="AZ38" s="393"/>
      <c r="BA38" s="507">
        <f t="shared" si="9"/>
        <v>0</v>
      </c>
      <c r="BB38" s="34"/>
      <c r="BC38" s="49"/>
    </row>
    <row r="39" spans="1:55" s="714" customFormat="1" ht="41.25" customHeight="1">
      <c r="A39" s="658" t="s">
        <v>591</v>
      </c>
      <c r="B39" s="511" t="s">
        <v>813</v>
      </c>
      <c r="C39" s="710">
        <v>10074760</v>
      </c>
      <c r="D39" s="710">
        <f>2106679+115008+789553</f>
        <v>3011240</v>
      </c>
      <c r="E39" s="506">
        <f t="shared" si="1"/>
        <v>13086000</v>
      </c>
      <c r="F39" s="710">
        <f>'Дод.1'!D102</f>
        <v>45121300</v>
      </c>
      <c r="G39" s="710">
        <f>'Дод.1'!D103</f>
        <v>4177700</v>
      </c>
      <c r="H39" s="710">
        <f>'Дод.1'!D104</f>
        <v>106305700</v>
      </c>
      <c r="I39" s="710">
        <f>'Дод.1'!D106</f>
        <v>3679700</v>
      </c>
      <c r="J39" s="710">
        <f>1040760+956400</f>
        <v>1997160</v>
      </c>
      <c r="K39" s="710">
        <v>1040760</v>
      </c>
      <c r="L39" s="710">
        <v>956400</v>
      </c>
      <c r="M39" s="710">
        <f>N39+P39+Q39+O39</f>
        <v>305500</v>
      </c>
      <c r="N39" s="710">
        <f>305500-74900</f>
        <v>230600</v>
      </c>
      <c r="O39" s="710">
        <v>74900</v>
      </c>
      <c r="P39" s="710"/>
      <c r="Q39" s="710"/>
      <c r="R39" s="764">
        <f t="shared" si="3"/>
        <v>565000</v>
      </c>
      <c r="S39" s="764">
        <v>500000</v>
      </c>
      <c r="T39" s="764">
        <v>40000</v>
      </c>
      <c r="U39" s="764">
        <v>25000</v>
      </c>
      <c r="V39" s="764">
        <f>W39+X39+Y39+Z39</f>
        <v>1154420</v>
      </c>
      <c r="W39" s="764">
        <v>283540</v>
      </c>
      <c r="X39" s="764">
        <v>403780</v>
      </c>
      <c r="Y39" s="764">
        <v>445500</v>
      </c>
      <c r="Z39" s="764">
        <v>21600</v>
      </c>
      <c r="AA39" s="764">
        <f>AB39</f>
        <v>281820</v>
      </c>
      <c r="AB39" s="764">
        <v>281820</v>
      </c>
      <c r="AC39" s="710">
        <f>42500+1347400</f>
        <v>1389900</v>
      </c>
      <c r="AD39" s="710">
        <v>42500</v>
      </c>
      <c r="AE39" s="710">
        <v>1347400</v>
      </c>
      <c r="AF39" s="710">
        <f>'Дод.1'!D113</f>
        <v>315805</v>
      </c>
      <c r="AG39" s="710">
        <f>'Дод.1.1'!D51</f>
        <v>1328826</v>
      </c>
      <c r="AH39" s="710">
        <f>'Дод.1'!E114</f>
        <v>233500</v>
      </c>
      <c r="AI39" s="710"/>
      <c r="AJ39" s="710"/>
      <c r="AK39" s="710">
        <f>'Дод.1.1'!E51</f>
        <v>1912195</v>
      </c>
      <c r="AL39" s="507">
        <f>E39+F39+G39+H39+I39+J39+M39+AC39+AF39+AG39+AH39+AK39+AA39+AI39+AJ39+R39+V39</f>
        <v>181854526</v>
      </c>
      <c r="AM39" s="711"/>
      <c r="AN39" s="711">
        <f t="shared" si="4"/>
        <v>0</v>
      </c>
      <c r="AO39" s="711">
        <f t="shared" si="5"/>
        <v>0</v>
      </c>
      <c r="AP39" s="711">
        <f t="shared" si="6"/>
        <v>0</v>
      </c>
      <c r="AQ39" s="710">
        <v>9000</v>
      </c>
      <c r="AR39" s="710">
        <f t="shared" si="7"/>
        <v>0</v>
      </c>
      <c r="AS39" s="710"/>
      <c r="AT39" s="710"/>
      <c r="AU39" s="710"/>
      <c r="AV39" s="710">
        <v>11000</v>
      </c>
      <c r="AW39" s="710">
        <v>42000</v>
      </c>
      <c r="AX39" s="710">
        <f t="shared" si="8"/>
        <v>0</v>
      </c>
      <c r="AY39" s="710"/>
      <c r="AZ39" s="710"/>
      <c r="BA39" s="507">
        <f t="shared" si="9"/>
        <v>62000</v>
      </c>
      <c r="BB39" s="712"/>
      <c r="BC39" s="713"/>
    </row>
    <row r="40" spans="1:55" s="21" customFormat="1" ht="38.25" customHeight="1">
      <c r="A40" s="490"/>
      <c r="B40" s="512" t="s">
        <v>740</v>
      </c>
      <c r="C40" s="681">
        <f>C38+C39+C37+C35</f>
        <v>10074760</v>
      </c>
      <c r="D40" s="681">
        <f aca="true" t="shared" si="17" ref="D40:AZ40">D38+D39+D37+D35</f>
        <v>3950780</v>
      </c>
      <c r="E40" s="507">
        <f t="shared" si="1"/>
        <v>14025540</v>
      </c>
      <c r="F40" s="681">
        <f t="shared" si="17"/>
        <v>45121300</v>
      </c>
      <c r="G40" s="681">
        <f t="shared" si="17"/>
        <v>4177700</v>
      </c>
      <c r="H40" s="681">
        <f t="shared" si="17"/>
        <v>106305700</v>
      </c>
      <c r="I40" s="681">
        <f t="shared" si="17"/>
        <v>3679700</v>
      </c>
      <c r="J40" s="681">
        <f t="shared" si="17"/>
        <v>1997160</v>
      </c>
      <c r="K40" s="681">
        <f t="shared" si="17"/>
        <v>1040760</v>
      </c>
      <c r="L40" s="681">
        <f t="shared" si="17"/>
        <v>956400</v>
      </c>
      <c r="M40" s="681">
        <f aca="true" t="shared" si="18" ref="M40:AA40">M38+M39+M37+M35</f>
        <v>368700</v>
      </c>
      <c r="N40" s="681">
        <f t="shared" si="18"/>
        <v>230600</v>
      </c>
      <c r="O40" s="681">
        <f t="shared" si="18"/>
        <v>74900</v>
      </c>
      <c r="P40" s="681">
        <f t="shared" si="18"/>
        <v>40880</v>
      </c>
      <c r="Q40" s="681">
        <f t="shared" si="18"/>
        <v>22320</v>
      </c>
      <c r="R40" s="767">
        <f t="shared" si="18"/>
        <v>565000</v>
      </c>
      <c r="S40" s="767">
        <f t="shared" si="18"/>
        <v>500000</v>
      </c>
      <c r="T40" s="767">
        <f t="shared" si="18"/>
        <v>40000</v>
      </c>
      <c r="U40" s="767">
        <f t="shared" si="18"/>
        <v>25000</v>
      </c>
      <c r="V40" s="767">
        <f t="shared" si="18"/>
        <v>1154420</v>
      </c>
      <c r="W40" s="767">
        <f t="shared" si="18"/>
        <v>283540</v>
      </c>
      <c r="X40" s="767">
        <f t="shared" si="18"/>
        <v>403780</v>
      </c>
      <c r="Y40" s="767">
        <f t="shared" si="18"/>
        <v>445500</v>
      </c>
      <c r="Z40" s="767">
        <f t="shared" si="18"/>
        <v>21600</v>
      </c>
      <c r="AA40" s="767">
        <f t="shared" si="18"/>
        <v>388899.05</v>
      </c>
      <c r="AB40" s="767">
        <f t="shared" si="17"/>
        <v>281820</v>
      </c>
      <c r="AC40" s="681">
        <f t="shared" si="17"/>
        <v>19580327</v>
      </c>
      <c r="AD40" s="681">
        <f t="shared" si="17"/>
        <v>70712</v>
      </c>
      <c r="AE40" s="681">
        <f t="shared" si="17"/>
        <v>1347400</v>
      </c>
      <c r="AF40" s="681">
        <f t="shared" si="17"/>
        <v>315805</v>
      </c>
      <c r="AG40" s="681">
        <f t="shared" si="17"/>
        <v>6795339</v>
      </c>
      <c r="AH40" s="681">
        <f t="shared" si="17"/>
        <v>233500</v>
      </c>
      <c r="AI40" s="681">
        <f t="shared" si="17"/>
        <v>99800</v>
      </c>
      <c r="AJ40" s="681">
        <f t="shared" si="17"/>
        <v>15000</v>
      </c>
      <c r="AK40" s="681">
        <f>AK38+AK39+AK37+AK35</f>
        <v>4617245</v>
      </c>
      <c r="AL40" s="507">
        <f>E40+F40+G40+H40+I40+J40+M40+AC40+AF40+AG40+AH40+AK40+AA40+AI40+AJ40+R40+V40</f>
        <v>209441135.05</v>
      </c>
      <c r="AM40" s="681">
        <f>AM38+AM39+AM37+AM35</f>
        <v>0</v>
      </c>
      <c r="AN40" s="488">
        <f t="shared" si="4"/>
        <v>63200</v>
      </c>
      <c r="AO40" s="488">
        <f t="shared" si="5"/>
        <v>40880</v>
      </c>
      <c r="AP40" s="488">
        <f t="shared" si="6"/>
        <v>22320</v>
      </c>
      <c r="AQ40" s="681">
        <f>AQ38+AQ39+AQ37+AQ35</f>
        <v>40024335</v>
      </c>
      <c r="AR40" s="681">
        <f t="shared" si="17"/>
        <v>38835153</v>
      </c>
      <c r="AS40" s="681">
        <f>AS38+AS39+AS37+AS35</f>
        <v>31409499</v>
      </c>
      <c r="AT40" s="681">
        <f t="shared" si="17"/>
        <v>7425654</v>
      </c>
      <c r="AU40" s="681">
        <f t="shared" si="17"/>
        <v>0</v>
      </c>
      <c r="AV40" s="681">
        <f t="shared" si="17"/>
        <v>11000</v>
      </c>
      <c r="AW40" s="681">
        <f t="shared" si="17"/>
        <v>1620900</v>
      </c>
      <c r="AX40" s="681">
        <f t="shared" si="17"/>
        <v>350000</v>
      </c>
      <c r="AY40" s="681">
        <f t="shared" si="17"/>
        <v>50000</v>
      </c>
      <c r="AZ40" s="681">
        <f t="shared" si="17"/>
        <v>300000</v>
      </c>
      <c r="BA40" s="507">
        <f t="shared" si="9"/>
        <v>41719435</v>
      </c>
      <c r="BB40" s="228">
        <f>BB43-BB42</f>
        <v>2894906</v>
      </c>
      <c r="BC40" s="49"/>
    </row>
    <row r="41" spans="1:55" s="20" customFormat="1" ht="38.25" customHeight="1">
      <c r="A41" s="490"/>
      <c r="B41" s="628" t="s">
        <v>744</v>
      </c>
      <c r="C41" s="682"/>
      <c r="D41" s="682"/>
      <c r="E41" s="629"/>
      <c r="F41" s="682"/>
      <c r="G41" s="682"/>
      <c r="H41" s="682"/>
      <c r="I41" s="682"/>
      <c r="J41" s="682"/>
      <c r="K41" s="682"/>
      <c r="L41" s="682"/>
      <c r="M41" s="682">
        <f>N41+P41+Q41</f>
        <v>15800</v>
      </c>
      <c r="N41" s="682"/>
      <c r="O41" s="682"/>
      <c r="P41" s="682">
        <v>10220</v>
      </c>
      <c r="Q41" s="682">
        <v>5580</v>
      </c>
      <c r="R41" s="764">
        <f t="shared" si="3"/>
        <v>0</v>
      </c>
      <c r="S41" s="768"/>
      <c r="T41" s="768"/>
      <c r="U41" s="768"/>
      <c r="V41" s="768"/>
      <c r="W41" s="768"/>
      <c r="X41" s="768"/>
      <c r="Y41" s="768"/>
      <c r="Z41" s="768"/>
      <c r="AA41" s="768"/>
      <c r="AB41" s="768"/>
      <c r="AC41" s="682"/>
      <c r="AD41" s="682"/>
      <c r="AE41" s="682"/>
      <c r="AF41" s="682"/>
      <c r="AG41" s="682"/>
      <c r="AH41" s="682"/>
      <c r="AI41" s="682"/>
      <c r="AJ41" s="682"/>
      <c r="AK41" s="682"/>
      <c r="AL41" s="507">
        <f t="shared" si="13"/>
        <v>15800</v>
      </c>
      <c r="AM41" s="682"/>
      <c r="AN41" s="393">
        <f t="shared" si="4"/>
        <v>15800</v>
      </c>
      <c r="AO41" s="393">
        <f t="shared" si="5"/>
        <v>10220</v>
      </c>
      <c r="AP41" s="393">
        <f t="shared" si="6"/>
        <v>5580</v>
      </c>
      <c r="AQ41" s="682"/>
      <c r="AR41" s="682"/>
      <c r="AS41" s="682"/>
      <c r="AT41" s="682"/>
      <c r="AU41" s="682"/>
      <c r="AV41" s="682"/>
      <c r="AW41" s="682"/>
      <c r="AX41" s="682"/>
      <c r="AY41" s="682"/>
      <c r="AZ41" s="682"/>
      <c r="BA41" s="507">
        <f t="shared" si="9"/>
        <v>15800</v>
      </c>
      <c r="BB41" s="630"/>
      <c r="BC41" s="49"/>
    </row>
    <row r="42" spans="1:55" ht="23.25" customHeight="1">
      <c r="A42" s="491"/>
      <c r="B42" s="513" t="s">
        <v>29</v>
      </c>
      <c r="C42" s="683"/>
      <c r="D42" s="683"/>
      <c r="E42" s="506">
        <f t="shared" si="1"/>
        <v>0</v>
      </c>
      <c r="F42" s="393"/>
      <c r="G42" s="508"/>
      <c r="H42" s="683"/>
      <c r="I42" s="683"/>
      <c r="J42" s="683"/>
      <c r="K42" s="683"/>
      <c r="L42" s="683"/>
      <c r="M42" s="683"/>
      <c r="N42" s="683"/>
      <c r="O42" s="683"/>
      <c r="P42" s="683"/>
      <c r="Q42" s="683"/>
      <c r="R42" s="764">
        <f t="shared" si="3"/>
        <v>0</v>
      </c>
      <c r="S42" s="769"/>
      <c r="T42" s="769"/>
      <c r="U42" s="769"/>
      <c r="V42" s="769"/>
      <c r="W42" s="769"/>
      <c r="X42" s="769"/>
      <c r="Y42" s="769"/>
      <c r="Z42" s="769"/>
      <c r="AA42" s="769"/>
      <c r="AB42" s="769"/>
      <c r="AC42" s="683"/>
      <c r="AD42" s="683"/>
      <c r="AE42" s="683"/>
      <c r="AF42" s="683"/>
      <c r="AG42" s="683"/>
      <c r="AH42" s="683"/>
      <c r="AI42" s="683"/>
      <c r="AJ42" s="683"/>
      <c r="AK42" s="683"/>
      <c r="AL42" s="507">
        <f t="shared" si="13"/>
        <v>0</v>
      </c>
      <c r="AM42" s="393">
        <f>'Дод.3'!H117</f>
        <v>2700802</v>
      </c>
      <c r="AN42" s="488">
        <f t="shared" si="4"/>
        <v>0</v>
      </c>
      <c r="AO42" s="488">
        <f t="shared" si="5"/>
        <v>0</v>
      </c>
      <c r="AP42" s="488">
        <f t="shared" si="6"/>
        <v>0</v>
      </c>
      <c r="AQ42" s="393"/>
      <c r="AR42" s="393">
        <f t="shared" si="7"/>
        <v>0</v>
      </c>
      <c r="AS42" s="683"/>
      <c r="AT42" s="683"/>
      <c r="AU42" s="683">
        <f>'Дод.3'!M117</f>
        <v>104104</v>
      </c>
      <c r="AV42" s="683"/>
      <c r="AW42" s="393">
        <f t="shared" si="10"/>
        <v>0</v>
      </c>
      <c r="AX42" s="393">
        <f t="shared" si="8"/>
        <v>0</v>
      </c>
      <c r="AY42" s="683"/>
      <c r="AZ42" s="683"/>
      <c r="BA42" s="507">
        <f t="shared" si="9"/>
        <v>2804906</v>
      </c>
      <c r="BB42" s="226">
        <f>'Дод.3'!S116</f>
        <v>41645235</v>
      </c>
      <c r="BC42" s="49"/>
    </row>
    <row r="43" spans="1:55" s="6" customFormat="1" ht="28.5" customHeight="1">
      <c r="A43" s="492"/>
      <c r="B43" s="514" t="s">
        <v>409</v>
      </c>
      <c r="C43" s="493">
        <f>C40+C42</f>
        <v>10074760</v>
      </c>
      <c r="D43" s="493">
        <f aca="true" t="shared" si="19" ref="D43:AK43">D40+D42</f>
        <v>3950780</v>
      </c>
      <c r="E43" s="515">
        <f t="shared" si="19"/>
        <v>14025540</v>
      </c>
      <c r="F43" s="493">
        <f t="shared" si="19"/>
        <v>45121300</v>
      </c>
      <c r="G43" s="493">
        <f t="shared" si="19"/>
        <v>4177700</v>
      </c>
      <c r="H43" s="493">
        <f t="shared" si="19"/>
        <v>106305700</v>
      </c>
      <c r="I43" s="493">
        <f t="shared" si="19"/>
        <v>3679700</v>
      </c>
      <c r="J43" s="493">
        <f t="shared" si="19"/>
        <v>1997160</v>
      </c>
      <c r="K43" s="493">
        <f t="shared" si="19"/>
        <v>1040760</v>
      </c>
      <c r="L43" s="493">
        <f t="shared" si="19"/>
        <v>956400</v>
      </c>
      <c r="M43" s="493">
        <f aca="true" t="shared" si="20" ref="M43:Z43">M40+M42+M41</f>
        <v>384500</v>
      </c>
      <c r="N43" s="493">
        <f t="shared" si="20"/>
        <v>230600</v>
      </c>
      <c r="O43" s="493">
        <f t="shared" si="20"/>
        <v>74900</v>
      </c>
      <c r="P43" s="500">
        <f t="shared" si="20"/>
        <v>51100</v>
      </c>
      <c r="Q43" s="500">
        <f t="shared" si="20"/>
        <v>27900</v>
      </c>
      <c r="R43" s="770">
        <f t="shared" si="20"/>
        <v>565000</v>
      </c>
      <c r="S43" s="770">
        <f t="shared" si="20"/>
        <v>500000</v>
      </c>
      <c r="T43" s="770">
        <f t="shared" si="20"/>
        <v>40000</v>
      </c>
      <c r="U43" s="770">
        <f t="shared" si="20"/>
        <v>25000</v>
      </c>
      <c r="V43" s="770">
        <f t="shared" si="20"/>
        <v>1154420</v>
      </c>
      <c r="W43" s="770">
        <f t="shared" si="20"/>
        <v>283540</v>
      </c>
      <c r="X43" s="770">
        <f t="shared" si="20"/>
        <v>403780</v>
      </c>
      <c r="Y43" s="770">
        <f t="shared" si="20"/>
        <v>445500</v>
      </c>
      <c r="Z43" s="770">
        <f t="shared" si="20"/>
        <v>21600</v>
      </c>
      <c r="AA43" s="770">
        <f t="shared" si="19"/>
        <v>388899.05</v>
      </c>
      <c r="AB43" s="770">
        <f t="shared" si="19"/>
        <v>281820</v>
      </c>
      <c r="AC43" s="493">
        <f t="shared" si="19"/>
        <v>19580327</v>
      </c>
      <c r="AD43" s="493">
        <f t="shared" si="19"/>
        <v>70712</v>
      </c>
      <c r="AE43" s="493">
        <f t="shared" si="19"/>
        <v>1347400</v>
      </c>
      <c r="AF43" s="493">
        <f t="shared" si="19"/>
        <v>315805</v>
      </c>
      <c r="AG43" s="493">
        <f t="shared" si="19"/>
        <v>6795339</v>
      </c>
      <c r="AH43" s="493">
        <f t="shared" si="19"/>
        <v>233500</v>
      </c>
      <c r="AI43" s="493">
        <f t="shared" si="19"/>
        <v>99800</v>
      </c>
      <c r="AJ43" s="493">
        <f t="shared" si="19"/>
        <v>15000</v>
      </c>
      <c r="AK43" s="493">
        <f t="shared" si="19"/>
        <v>4617245</v>
      </c>
      <c r="AL43" s="507">
        <f>E43+F43+G43+H43+I43+J43+M43+AC43+AF43+AG43+AH43+AK43+AA43+AI43+AJ43+R43+V43</f>
        <v>209456935.05</v>
      </c>
      <c r="AM43" s="493">
        <f>AM40+AM42</f>
        <v>2700802</v>
      </c>
      <c r="AN43" s="488">
        <f t="shared" si="4"/>
        <v>79000</v>
      </c>
      <c r="AO43" s="488">
        <f t="shared" si="5"/>
        <v>51100</v>
      </c>
      <c r="AP43" s="488">
        <f t="shared" si="6"/>
        <v>27900</v>
      </c>
      <c r="AQ43" s="493">
        <f>AQ40+AQ42</f>
        <v>40024335</v>
      </c>
      <c r="AR43" s="493">
        <f>AR40+AR42</f>
        <v>38835153</v>
      </c>
      <c r="AS43" s="493">
        <f>AS40+AS42</f>
        <v>31409499</v>
      </c>
      <c r="AT43" s="493">
        <f aca="true" t="shared" si="21" ref="AT43:AZ43">AT40+AT42</f>
        <v>7425654</v>
      </c>
      <c r="AU43" s="493">
        <f t="shared" si="21"/>
        <v>104104</v>
      </c>
      <c r="AV43" s="493">
        <f t="shared" si="21"/>
        <v>11000</v>
      </c>
      <c r="AW43" s="493">
        <f t="shared" si="21"/>
        <v>1620900</v>
      </c>
      <c r="AX43" s="493">
        <f t="shared" si="21"/>
        <v>350000</v>
      </c>
      <c r="AY43" s="493">
        <f t="shared" si="21"/>
        <v>50000</v>
      </c>
      <c r="AZ43" s="493">
        <f t="shared" si="21"/>
        <v>300000</v>
      </c>
      <c r="BA43" s="507">
        <f t="shared" si="9"/>
        <v>44540141</v>
      </c>
      <c r="BB43" s="227">
        <f>'Дод.3'!S110-'Дод.3'!S112</f>
        <v>44540141</v>
      </c>
      <c r="BC43" s="49"/>
    </row>
    <row r="44" spans="1:55" ht="20.25" customHeight="1">
      <c r="A44" s="494"/>
      <c r="B44" s="495"/>
      <c r="C44" s="496"/>
      <c r="D44" s="496"/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771"/>
      <c r="S44" s="771"/>
      <c r="T44" s="771"/>
      <c r="U44" s="771"/>
      <c r="V44" s="771"/>
      <c r="W44" s="771"/>
      <c r="X44" s="771"/>
      <c r="Y44" s="771"/>
      <c r="Z44" s="771"/>
      <c r="AA44" s="771"/>
      <c r="AB44" s="771"/>
      <c r="AC44" s="496"/>
      <c r="AD44" s="496"/>
      <c r="AE44" s="496"/>
      <c r="AF44" s="496"/>
      <c r="AG44" s="496"/>
      <c r="AH44" s="496"/>
      <c r="AI44" s="496"/>
      <c r="AJ44" s="496"/>
      <c r="AK44" s="496"/>
      <c r="AL44" s="496"/>
      <c r="AM44" s="496"/>
      <c r="AN44" s="496"/>
      <c r="AO44" s="496"/>
      <c r="AP44" s="496"/>
      <c r="AQ44" s="496"/>
      <c r="AR44" s="496"/>
      <c r="AS44" s="496"/>
      <c r="AT44" s="496"/>
      <c r="AU44" s="496"/>
      <c r="AV44" s="496"/>
      <c r="AW44" s="358"/>
      <c r="AX44" s="358"/>
      <c r="AY44" s="358"/>
      <c r="AZ44" s="358"/>
      <c r="BA44" s="498"/>
      <c r="BB44" s="7"/>
      <c r="BC44" s="7"/>
    </row>
    <row r="45" spans="1:55" ht="20.25" customHeight="1">
      <c r="A45" s="494"/>
      <c r="B45" s="869" t="s">
        <v>222</v>
      </c>
      <c r="C45" s="870"/>
      <c r="D45" s="870"/>
      <c r="E45" s="870"/>
      <c r="F45" s="870"/>
      <c r="G45" s="870"/>
      <c r="H45" s="870"/>
      <c r="I45" s="870"/>
      <c r="J45" s="870"/>
      <c r="K45" s="870"/>
      <c r="L45" s="870"/>
      <c r="M45" s="870"/>
      <c r="N45" s="870"/>
      <c r="O45" s="870"/>
      <c r="P45" s="870"/>
      <c r="Q45" s="870"/>
      <c r="R45" s="870"/>
      <c r="S45" s="870"/>
      <c r="T45" s="870"/>
      <c r="U45" s="870"/>
      <c r="V45" s="870"/>
      <c r="W45" s="870"/>
      <c r="X45" s="870"/>
      <c r="Y45" s="870"/>
      <c r="Z45" s="870"/>
      <c r="AA45" s="870"/>
      <c r="AB45" s="870"/>
      <c r="AC45" s="870"/>
      <c r="AD45" s="870"/>
      <c r="AE45" s="870"/>
      <c r="AF45" s="870"/>
      <c r="AG45" s="870"/>
      <c r="AH45" s="870"/>
      <c r="AI45" s="870"/>
      <c r="AJ45" s="870"/>
      <c r="AK45" s="870"/>
      <c r="AL45" s="870"/>
      <c r="AM45" s="870"/>
      <c r="AN45" s="870"/>
      <c r="AO45" s="870"/>
      <c r="AP45" s="870"/>
      <c r="AQ45" s="870"/>
      <c r="AR45" s="870"/>
      <c r="AS45" s="870"/>
      <c r="AT45" s="870"/>
      <c r="AU45" s="870"/>
      <c r="AV45" s="870"/>
      <c r="AW45" s="870"/>
      <c r="AX45" s="870"/>
      <c r="AY45" s="870"/>
      <c r="AZ45" s="870"/>
      <c r="BA45" s="870"/>
      <c r="BB45" s="243">
        <f>BB43-BA43</f>
        <v>0</v>
      </c>
      <c r="BC45" s="82"/>
    </row>
    <row r="46" spans="1:55" s="58" customFormat="1" ht="23.25" customHeight="1">
      <c r="A46" s="64"/>
      <c r="B46" s="81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650"/>
      <c r="N46" s="72"/>
      <c r="O46" s="72"/>
      <c r="P46" s="72"/>
      <c r="Q46" s="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2"/>
      <c r="AD46" s="72"/>
      <c r="AE46" s="72"/>
      <c r="AF46" s="72"/>
      <c r="AG46" s="72"/>
      <c r="AH46" s="72"/>
      <c r="AI46" s="72"/>
      <c r="AJ46" s="72"/>
      <c r="AK46" s="72"/>
      <c r="AL46" s="650">
        <f>AL39+P43+Q43</f>
        <v>181933526</v>
      </c>
      <c r="AM46" s="72"/>
      <c r="AN46" s="72"/>
      <c r="AO46" s="72"/>
      <c r="AP46" s="72"/>
      <c r="AQ46" s="651"/>
      <c r="AR46" s="651"/>
      <c r="AS46" s="651"/>
      <c r="AT46" s="651"/>
      <c r="AU46" s="651"/>
      <c r="AV46" s="651"/>
      <c r="AW46" s="692"/>
      <c r="AX46" s="692"/>
      <c r="AY46" s="692"/>
      <c r="AZ46" s="692"/>
      <c r="BA46" s="652"/>
      <c r="BB46" s="59"/>
      <c r="BC46" s="59"/>
    </row>
    <row r="47" spans="1:55" ht="20.25">
      <c r="A47" s="7"/>
      <c r="B47" s="67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773"/>
      <c r="S47" s="773"/>
      <c r="T47" s="773"/>
      <c r="U47" s="773"/>
      <c r="V47" s="773"/>
      <c r="W47" s="773"/>
      <c r="X47" s="773"/>
      <c r="Y47" s="773"/>
      <c r="Z47" s="773"/>
      <c r="AA47" s="773"/>
      <c r="AB47" s="773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93"/>
      <c r="AX47" s="693"/>
      <c r="AY47" s="693"/>
      <c r="AZ47" s="693"/>
      <c r="BA47" s="499"/>
      <c r="BB47" s="8"/>
      <c r="BC47" s="8"/>
    </row>
    <row r="48" spans="1:55" s="75" customFormat="1" ht="30.75" customHeight="1">
      <c r="A48" s="74"/>
      <c r="B48" s="229" t="s">
        <v>264</v>
      </c>
      <c r="C48" s="230"/>
      <c r="D48" s="230"/>
      <c r="E48" s="247">
        <f>'Дод.1'!D100</f>
        <v>14025540</v>
      </c>
      <c r="F48" s="493">
        <f>'Дод.1'!D102</f>
        <v>45121300</v>
      </c>
      <c r="G48" s="493">
        <f>'Дод.1'!D103</f>
        <v>4177700</v>
      </c>
      <c r="H48" s="493">
        <f>'Дод.1'!D104</f>
        <v>106305700</v>
      </c>
      <c r="I48" s="493">
        <f>'Дод.1'!D106</f>
        <v>3679700</v>
      </c>
      <c r="J48" s="493">
        <f>'Дод.1'!D107</f>
        <v>1997160</v>
      </c>
      <c r="K48" s="493"/>
      <c r="L48" s="493"/>
      <c r="M48" s="493">
        <f>'Дод.1'!D109</f>
        <v>384500</v>
      </c>
      <c r="N48" s="493"/>
      <c r="O48" s="493"/>
      <c r="P48" s="493"/>
      <c r="Q48" s="493"/>
      <c r="R48" s="770">
        <f>'Дод.1'!D108</f>
        <v>565000</v>
      </c>
      <c r="S48" s="770"/>
      <c r="T48" s="770"/>
      <c r="U48" s="770"/>
      <c r="V48" s="770">
        <f>'Дод.1'!D110</f>
        <v>1154420</v>
      </c>
      <c r="W48" s="770"/>
      <c r="X48" s="770"/>
      <c r="Y48" s="770"/>
      <c r="Z48" s="770"/>
      <c r="AA48" s="770">
        <f>'Дод.1'!D112</f>
        <v>388899.05</v>
      </c>
      <c r="AB48" s="770"/>
      <c r="AC48" s="493">
        <f>'Дод.1'!D111</f>
        <v>19580327</v>
      </c>
      <c r="AD48" s="493"/>
      <c r="AE48" s="493"/>
      <c r="AF48" s="493">
        <f>'Дод.1'!D113</f>
        <v>315805</v>
      </c>
      <c r="AG48" s="493">
        <f>'Дод.1.1'!D206</f>
        <v>6795339</v>
      </c>
      <c r="AH48" s="493">
        <f>'Дод.1'!E114</f>
        <v>233500</v>
      </c>
      <c r="AI48" s="493">
        <f>'Дод.1'!E116</f>
        <v>99800</v>
      </c>
      <c r="AJ48" s="493">
        <f>'Дод.1'!E117</f>
        <v>15000</v>
      </c>
      <c r="AK48" s="493">
        <f>'Дод.1.1'!E206</f>
        <v>4617245</v>
      </c>
      <c r="AL48" s="247">
        <f>'Дод.1'!C101+'Дод.1'!C99</f>
        <v>209456935.05</v>
      </c>
      <c r="AM48" s="493">
        <f>'Дод.3'!I117</f>
        <v>2700802</v>
      </c>
      <c r="AN48" s="493">
        <f>'Дод.3'!H113</f>
        <v>79000</v>
      </c>
      <c r="AO48" s="493"/>
      <c r="AP48" s="493"/>
      <c r="AQ48" s="493">
        <f>'Дод.3'!H116</f>
        <v>40024335</v>
      </c>
      <c r="AR48" s="493"/>
      <c r="AS48" s="493"/>
      <c r="AT48" s="493"/>
      <c r="AU48" s="493">
        <f>'Дод.3'!M117</f>
        <v>104104</v>
      </c>
      <c r="AV48" s="493">
        <f>'Дод.3'!M115</f>
        <v>11000</v>
      </c>
      <c r="AW48" s="493">
        <f>'Дод.3'!M116</f>
        <v>1620900</v>
      </c>
      <c r="AX48" s="493"/>
      <c r="AY48" s="493"/>
      <c r="AZ48" s="493"/>
      <c r="BA48" s="500">
        <f>'Дод.3'!S116+'Дод.3'!S117+'Дод.3'!H113+'Дод.3'!S115</f>
        <v>44540141</v>
      </c>
      <c r="BB48" s="231"/>
      <c r="BC48" s="231"/>
    </row>
    <row r="49" spans="1:55" s="55" customFormat="1" ht="20.25">
      <c r="A49" s="73"/>
      <c r="B49" s="232" t="s">
        <v>265</v>
      </c>
      <c r="C49" s="233"/>
      <c r="D49" s="233"/>
      <c r="E49" s="233">
        <f aca="true" t="shared" si="22" ref="E49:J49">E48-E43</f>
        <v>0</v>
      </c>
      <c r="F49" s="684">
        <f t="shared" si="22"/>
        <v>0</v>
      </c>
      <c r="G49" s="684">
        <f t="shared" si="22"/>
        <v>0</v>
      </c>
      <c r="H49" s="684">
        <f t="shared" si="22"/>
        <v>0</v>
      </c>
      <c r="I49" s="684">
        <f t="shared" si="22"/>
        <v>0</v>
      </c>
      <c r="J49" s="684">
        <f t="shared" si="22"/>
        <v>0</v>
      </c>
      <c r="K49" s="684"/>
      <c r="L49" s="684"/>
      <c r="M49" s="684">
        <f>M48-M43</f>
        <v>0</v>
      </c>
      <c r="N49" s="684"/>
      <c r="O49" s="684"/>
      <c r="P49" s="684"/>
      <c r="Q49" s="684"/>
      <c r="R49" s="774"/>
      <c r="S49" s="774"/>
      <c r="T49" s="774"/>
      <c r="U49" s="774"/>
      <c r="V49" s="774"/>
      <c r="W49" s="774"/>
      <c r="X49" s="774"/>
      <c r="Y49" s="774"/>
      <c r="Z49" s="774"/>
      <c r="AA49" s="774"/>
      <c r="AB49" s="774"/>
      <c r="AC49" s="684">
        <f>AC48-AC43</f>
        <v>0</v>
      </c>
      <c r="AD49" s="684"/>
      <c r="AE49" s="684"/>
      <c r="AF49" s="684">
        <f>AF48-AF43</f>
        <v>0</v>
      </c>
      <c r="AG49" s="684">
        <f>AG48-AG43</f>
        <v>0</v>
      </c>
      <c r="AH49" s="684">
        <f>AH48-AH43</f>
        <v>0</v>
      </c>
      <c r="AI49" s="684"/>
      <c r="AJ49" s="684"/>
      <c r="AK49" s="684">
        <f>AK48-AK43</f>
        <v>0</v>
      </c>
      <c r="AL49" s="233">
        <f>AL48-AL43</f>
        <v>0</v>
      </c>
      <c r="AM49" s="684"/>
      <c r="AN49" s="684"/>
      <c r="AO49" s="684"/>
      <c r="AP49" s="684"/>
      <c r="AQ49" s="684">
        <f>AQ48-AQ43</f>
        <v>0</v>
      </c>
      <c r="AR49" s="684"/>
      <c r="AS49" s="684"/>
      <c r="AT49" s="684"/>
      <c r="AU49" s="684"/>
      <c r="AV49" s="684"/>
      <c r="AW49" s="684">
        <f>AW48-AW43</f>
        <v>0</v>
      </c>
      <c r="AX49" s="684"/>
      <c r="AY49" s="684"/>
      <c r="AZ49" s="684"/>
      <c r="BA49" s="501"/>
      <c r="BB49" s="232"/>
      <c r="BC49" s="234"/>
    </row>
    <row r="50" spans="2:55" ht="20.25">
      <c r="B50" s="235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775"/>
      <c r="S50" s="775"/>
      <c r="T50" s="775"/>
      <c r="U50" s="775"/>
      <c r="V50" s="775"/>
      <c r="W50" s="775"/>
      <c r="X50" s="775"/>
      <c r="Y50" s="775"/>
      <c r="Z50" s="775"/>
      <c r="AA50" s="775"/>
      <c r="AB50" s="775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502"/>
      <c r="BB50" s="235"/>
      <c r="BC50" s="235"/>
    </row>
    <row r="51" spans="2:55" s="56" customFormat="1" ht="20.25">
      <c r="B51" s="238"/>
      <c r="C51" s="375"/>
      <c r="D51" s="375"/>
      <c r="E51" s="375"/>
      <c r="F51" s="685"/>
      <c r="G51" s="685"/>
      <c r="H51" s="685"/>
      <c r="I51" s="685"/>
      <c r="J51" s="685"/>
      <c r="K51" s="685"/>
      <c r="L51" s="685"/>
      <c r="M51" s="685"/>
      <c r="N51" s="685"/>
      <c r="O51" s="685"/>
      <c r="P51" s="685"/>
      <c r="Q51" s="685"/>
      <c r="R51" s="776"/>
      <c r="S51" s="776"/>
      <c r="T51" s="776"/>
      <c r="U51" s="776"/>
      <c r="V51" s="776"/>
      <c r="W51" s="776"/>
      <c r="X51" s="776"/>
      <c r="Y51" s="776"/>
      <c r="Z51" s="776"/>
      <c r="AA51" s="776"/>
      <c r="AB51" s="776"/>
      <c r="AC51" s="685"/>
      <c r="AD51" s="685"/>
      <c r="AE51" s="685"/>
      <c r="AF51" s="685"/>
      <c r="AG51" s="685"/>
      <c r="AH51" s="685"/>
      <c r="AI51" s="685"/>
      <c r="AJ51" s="685"/>
      <c r="AK51" s="685"/>
      <c r="AL51" s="375"/>
      <c r="AM51" s="685"/>
      <c r="AN51" s="685"/>
      <c r="AO51" s="685"/>
      <c r="AP51" s="685"/>
      <c r="AQ51" s="685"/>
      <c r="AR51" s="685"/>
      <c r="AS51" s="685"/>
      <c r="AT51" s="685"/>
      <c r="AU51" s="685"/>
      <c r="AV51" s="685"/>
      <c r="AW51" s="685"/>
      <c r="AX51" s="685"/>
      <c r="AY51" s="685"/>
      <c r="AZ51" s="685"/>
      <c r="BA51" s="503"/>
      <c r="BB51" s="238"/>
      <c r="BC51" s="238"/>
    </row>
    <row r="52" spans="43:53" ht="15.75">
      <c r="AQ52" s="376"/>
      <c r="AR52" s="376"/>
      <c r="AS52" s="376"/>
      <c r="AT52" s="376"/>
      <c r="AU52" s="376"/>
      <c r="AV52" s="376"/>
      <c r="AW52" s="376"/>
      <c r="AX52" s="376"/>
      <c r="AY52" s="376"/>
      <c r="AZ52" s="376"/>
      <c r="BA52" s="504"/>
    </row>
    <row r="54" spans="12:53" ht="23.25">
      <c r="L54" s="65"/>
      <c r="M54" s="65"/>
      <c r="N54" s="65"/>
      <c r="O54" s="65"/>
      <c r="AX54" s="694"/>
      <c r="BA54" s="505">
        <f>BA42-'Дод.3'!S117</f>
        <v>0</v>
      </c>
    </row>
    <row r="55" ht="15.75">
      <c r="M55" s="65"/>
    </row>
    <row r="56" ht="15.75">
      <c r="M56" s="65"/>
    </row>
  </sheetData>
  <sheetProtection/>
  <mergeCells count="85">
    <mergeCell ref="AJ2:AL2"/>
    <mergeCell ref="AH9:AK9"/>
    <mergeCell ref="C9:D9"/>
    <mergeCell ref="F8:AK8"/>
    <mergeCell ref="J2:L2"/>
    <mergeCell ref="J3:L3"/>
    <mergeCell ref="C7:AL7"/>
    <mergeCell ref="F9:AG9"/>
    <mergeCell ref="AM8:AZ8"/>
    <mergeCell ref="AY12:AZ12"/>
    <mergeCell ref="AX12:AX13"/>
    <mergeCell ref="AL8:AL13"/>
    <mergeCell ref="AU11:AU13"/>
    <mergeCell ref="AR12:AR13"/>
    <mergeCell ref="AP12:AP13"/>
    <mergeCell ref="AV11:AV13"/>
    <mergeCell ref="AS12:AT12"/>
    <mergeCell ref="AM10:AZ10"/>
    <mergeCell ref="N11:Q11"/>
    <mergeCell ref="F10:AK10"/>
    <mergeCell ref="I11:I13"/>
    <mergeCell ref="Y12:Y13"/>
    <mergeCell ref="M11:M13"/>
    <mergeCell ref="S12:S13"/>
    <mergeCell ref="L12:L13"/>
    <mergeCell ref="AU9:AZ9"/>
    <mergeCell ref="P12:P13"/>
    <mergeCell ref="AO11:AP11"/>
    <mergeCell ref="AO12:AO13"/>
    <mergeCell ref="AH11:AH13"/>
    <mergeCell ref="AW11:AW13"/>
    <mergeCell ref="AB12:AB13"/>
    <mergeCell ref="V11:V13"/>
    <mergeCell ref="AJ11:AJ13"/>
    <mergeCell ref="AC11:AC13"/>
    <mergeCell ref="AM7:AZ7"/>
    <mergeCell ref="AY1:BA1"/>
    <mergeCell ref="AY2:BA2"/>
    <mergeCell ref="AY3:BA3"/>
    <mergeCell ref="AR1:AT1"/>
    <mergeCell ref="AR2:AT2"/>
    <mergeCell ref="A5:AT5"/>
    <mergeCell ref="J1:L1"/>
    <mergeCell ref="AJ3:AL3"/>
    <mergeCell ref="AJ1:AL1"/>
    <mergeCell ref="B45:BA45"/>
    <mergeCell ref="AK11:AK13"/>
    <mergeCell ref="E9:E13"/>
    <mergeCell ref="AI11:AI13"/>
    <mergeCell ref="C11:C13"/>
    <mergeCell ref="AX11:AZ11"/>
    <mergeCell ref="BA7:BA13"/>
    <mergeCell ref="N12:N13"/>
    <mergeCell ref="B7:B13"/>
    <mergeCell ref="AA11:AA13"/>
    <mergeCell ref="AM9:AT9"/>
    <mergeCell ref="H11:H13"/>
    <mergeCell ref="AD11:AE11"/>
    <mergeCell ref="AQ11:AQ13"/>
    <mergeCell ref="AE12:AE13"/>
    <mergeCell ref="AG11:AG13"/>
    <mergeCell ref="AN11:AN13"/>
    <mergeCell ref="J11:J13"/>
    <mergeCell ref="Z12:Z13"/>
    <mergeCell ref="AD12:AD13"/>
    <mergeCell ref="AR11:AT11"/>
    <mergeCell ref="AF11:AF13"/>
    <mergeCell ref="Q12:Q13"/>
    <mergeCell ref="D11:D13"/>
    <mergeCell ref="T12:T13"/>
    <mergeCell ref="W12:W13"/>
    <mergeCell ref="X12:X13"/>
    <mergeCell ref="S11:U11"/>
    <mergeCell ref="G11:G13"/>
    <mergeCell ref="AM11:AM13"/>
    <mergeCell ref="C10:D10"/>
    <mergeCell ref="U12:U13"/>
    <mergeCell ref="W11:Z11"/>
    <mergeCell ref="A7:A13"/>
    <mergeCell ref="C8:E8"/>
    <mergeCell ref="F11:F13"/>
    <mergeCell ref="K11:L11"/>
    <mergeCell ref="O12:O13"/>
    <mergeCell ref="R11:R13"/>
    <mergeCell ref="K12:K13"/>
  </mergeCells>
  <conditionalFormatting sqref="BC49 C48:BC48">
    <cfRule type="cellIs" priority="1" dxfId="2" operator="not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2362204724409449"/>
  <pageSetup fitToWidth="2" horizontalDpi="300" verticalDpi="3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W245"/>
  <sheetViews>
    <sheetView view="pageBreakPreview" zoomScale="75" zoomScaleNormal="50" zoomScaleSheetLayoutView="75" zoomScalePageLayoutView="0" workbookViewId="0" topLeftCell="A1">
      <selection activeCell="A8" sqref="A8:E243"/>
    </sheetView>
  </sheetViews>
  <sheetFormatPr defaultColWidth="9.00390625" defaultRowHeight="12.75"/>
  <cols>
    <col min="1" max="1" width="24.625" style="98" customWidth="1"/>
    <col min="2" max="2" width="72.75390625" style="115" customWidth="1"/>
    <col min="3" max="3" width="19.00390625" style="115" customWidth="1"/>
    <col min="4" max="4" width="17.875" style="115" customWidth="1"/>
    <col min="5" max="5" width="16.625" style="115" customWidth="1"/>
    <col min="6" max="6" width="16.875" style="98" hidden="1" customWidth="1"/>
    <col min="7" max="7" width="13.75390625" style="98" hidden="1" customWidth="1"/>
    <col min="8" max="8" width="17.875" style="98" customWidth="1"/>
    <col min="9" max="9" width="17.125" style="98" customWidth="1"/>
    <col min="10" max="10" width="15.375" style="98" customWidth="1"/>
    <col min="11" max="11" width="16.125" style="98" customWidth="1"/>
    <col min="12" max="16384" width="9.125" style="98" customWidth="1"/>
  </cols>
  <sheetData>
    <row r="1" spans="1:49" ht="20.25" customHeight="1">
      <c r="A1" s="103"/>
      <c r="B1" s="215"/>
      <c r="C1" s="215"/>
      <c r="D1" s="106" t="s">
        <v>178</v>
      </c>
      <c r="E1" s="115"/>
      <c r="G1" s="85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</row>
    <row r="2" spans="1:49" ht="18" customHeight="1">
      <c r="A2" s="104"/>
      <c r="B2" s="216"/>
      <c r="C2" s="216"/>
      <c r="D2" s="106" t="s">
        <v>547</v>
      </c>
      <c r="E2" s="115"/>
      <c r="G2" s="85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</row>
    <row r="3" spans="1:49" ht="18" customHeight="1">
      <c r="A3" s="104"/>
      <c r="B3" s="216"/>
      <c r="C3" s="216"/>
      <c r="D3" s="916" t="str">
        <f>'Дод.1'!D3</f>
        <v>від                            №  </v>
      </c>
      <c r="E3" s="784"/>
      <c r="G3" s="85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</row>
    <row r="4" spans="1:49" ht="37.5" customHeight="1">
      <c r="A4" s="779" t="s">
        <v>926</v>
      </c>
      <c r="B4" s="779"/>
      <c r="C4" s="779"/>
      <c r="D4" s="779"/>
      <c r="E4" s="779"/>
      <c r="F4" s="779"/>
      <c r="G4" s="108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</row>
    <row r="5" spans="1:7" ht="16.5" customHeight="1">
      <c r="A5" s="201"/>
      <c r="B5" s="201"/>
      <c r="C5" s="201"/>
      <c r="D5" s="201"/>
      <c r="E5" s="193" t="s">
        <v>85</v>
      </c>
      <c r="F5" s="202"/>
      <c r="G5" s="109"/>
    </row>
    <row r="6" spans="1:11" ht="54.75" customHeight="1">
      <c r="A6" s="196" t="s">
        <v>782</v>
      </c>
      <c r="B6" s="196" t="s">
        <v>876</v>
      </c>
      <c r="C6" s="196" t="s">
        <v>33</v>
      </c>
      <c r="D6" s="203" t="s">
        <v>326</v>
      </c>
      <c r="E6" s="203" t="s">
        <v>780</v>
      </c>
      <c r="F6" s="202"/>
      <c r="G6" s="110"/>
      <c r="H6" s="917" t="s">
        <v>17</v>
      </c>
      <c r="I6" s="917"/>
      <c r="J6" s="918" t="s">
        <v>18</v>
      </c>
      <c r="K6" s="918"/>
    </row>
    <row r="7" spans="1:11" ht="18" customHeight="1">
      <c r="A7" s="196">
        <v>1</v>
      </c>
      <c r="B7" s="196">
        <v>2</v>
      </c>
      <c r="C7" s="196">
        <v>3</v>
      </c>
      <c r="D7" s="203">
        <v>4</v>
      </c>
      <c r="E7" s="203">
        <v>5</v>
      </c>
      <c r="F7" s="202"/>
      <c r="G7" s="110"/>
      <c r="H7" s="97"/>
      <c r="I7" s="97"/>
      <c r="J7" s="97"/>
      <c r="K7" s="97"/>
    </row>
    <row r="8" spans="1:11" ht="41.25" customHeight="1" hidden="1">
      <c r="A8" s="907" t="s">
        <v>721</v>
      </c>
      <c r="B8" s="219"/>
      <c r="C8" s="112">
        <f aca="true" t="shared" si="0" ref="C8:C30">D8+E8</f>
        <v>0</v>
      </c>
      <c r="D8" s="112"/>
      <c r="E8" s="112"/>
      <c r="F8" s="204"/>
      <c r="G8" s="163"/>
      <c r="H8" s="97"/>
      <c r="I8" s="97"/>
      <c r="J8" s="97"/>
      <c r="K8" s="97"/>
    </row>
    <row r="9" spans="1:11" ht="41.25" customHeight="1" hidden="1">
      <c r="A9" s="905"/>
      <c r="B9" s="219"/>
      <c r="C9" s="112">
        <f t="shared" si="0"/>
        <v>0</v>
      </c>
      <c r="D9" s="112"/>
      <c r="E9" s="112"/>
      <c r="F9" s="204"/>
      <c r="G9" s="163"/>
      <c r="H9" s="97"/>
      <c r="I9" s="97"/>
      <c r="J9" s="97"/>
      <c r="K9" s="97"/>
    </row>
    <row r="10" spans="1:11" ht="41.25" customHeight="1" hidden="1">
      <c r="A10" s="905"/>
      <c r="B10" s="219"/>
      <c r="C10" s="112">
        <f t="shared" si="0"/>
        <v>0</v>
      </c>
      <c r="D10" s="112"/>
      <c r="E10" s="112"/>
      <c r="F10" s="204"/>
      <c r="G10" s="163"/>
      <c r="H10" s="97"/>
      <c r="I10" s="97"/>
      <c r="J10" s="97"/>
      <c r="K10" s="97"/>
    </row>
    <row r="11" spans="1:11" ht="41.25" customHeight="1" hidden="1">
      <c r="A11" s="905"/>
      <c r="B11" s="219"/>
      <c r="C11" s="112">
        <f t="shared" si="0"/>
        <v>0</v>
      </c>
      <c r="D11" s="112"/>
      <c r="E11" s="112"/>
      <c r="F11" s="204"/>
      <c r="G11" s="163"/>
      <c r="H11" s="97"/>
      <c r="I11" s="97"/>
      <c r="J11" s="97"/>
      <c r="K11" s="97"/>
    </row>
    <row r="12" spans="1:11" ht="41.25" customHeight="1" hidden="1">
      <c r="A12" s="905"/>
      <c r="B12" s="219"/>
      <c r="C12" s="112">
        <f t="shared" si="0"/>
        <v>0</v>
      </c>
      <c r="D12" s="112"/>
      <c r="E12" s="112"/>
      <c r="F12" s="204"/>
      <c r="G12" s="163"/>
      <c r="H12" s="97"/>
      <c r="I12" s="97"/>
      <c r="J12" s="97"/>
      <c r="K12" s="97"/>
    </row>
    <row r="13" spans="1:11" ht="41.25" customHeight="1" hidden="1">
      <c r="A13" s="905"/>
      <c r="B13" s="219"/>
      <c r="C13" s="112">
        <f t="shared" si="0"/>
        <v>0</v>
      </c>
      <c r="D13" s="112"/>
      <c r="E13" s="112"/>
      <c r="F13" s="204"/>
      <c r="G13" s="163"/>
      <c r="H13" s="97"/>
      <c r="I13" s="97"/>
      <c r="J13" s="97"/>
      <c r="K13" s="97"/>
    </row>
    <row r="14" spans="1:11" ht="41.25" customHeight="1" hidden="1">
      <c r="A14" s="905"/>
      <c r="B14" s="219"/>
      <c r="C14" s="112">
        <f t="shared" si="0"/>
        <v>0</v>
      </c>
      <c r="D14" s="112"/>
      <c r="E14" s="112"/>
      <c r="F14" s="204"/>
      <c r="G14" s="163"/>
      <c r="H14" s="97"/>
      <c r="I14" s="97"/>
      <c r="J14" s="97"/>
      <c r="K14" s="97"/>
    </row>
    <row r="15" spans="1:11" ht="41.25" customHeight="1" hidden="1">
      <c r="A15" s="905"/>
      <c r="B15" s="219"/>
      <c r="C15" s="112">
        <f t="shared" si="0"/>
        <v>0</v>
      </c>
      <c r="D15" s="111"/>
      <c r="E15" s="111"/>
      <c r="F15" s="204"/>
      <c r="G15" s="163"/>
      <c r="H15" s="97"/>
      <c r="I15" s="97"/>
      <c r="J15" s="97"/>
      <c r="K15" s="97"/>
    </row>
    <row r="16" spans="1:46" s="113" customFormat="1" ht="39.75" customHeight="1">
      <c r="A16" s="905"/>
      <c r="B16" s="220" t="s">
        <v>783</v>
      </c>
      <c r="C16" s="111">
        <f t="shared" si="0"/>
        <v>3962023</v>
      </c>
      <c r="D16" s="111">
        <f>'Дод.4'!AR15</f>
        <v>3962023</v>
      </c>
      <c r="E16" s="112"/>
      <c r="F16" s="115"/>
      <c r="H16" s="114"/>
      <c r="I16" s="114"/>
      <c r="J16" s="114"/>
      <c r="K16" s="114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</row>
    <row r="17" spans="1:46" s="113" customFormat="1" ht="29.25" customHeight="1">
      <c r="A17" s="906"/>
      <c r="B17" s="223" t="s">
        <v>781</v>
      </c>
      <c r="C17" s="116">
        <f t="shared" si="0"/>
        <v>3962023</v>
      </c>
      <c r="D17" s="116">
        <f>SUM(D8:D16)</f>
        <v>3962023</v>
      </c>
      <c r="E17" s="116">
        <f>SUM(E8:E16)</f>
        <v>0</v>
      </c>
      <c r="F17" s="115"/>
      <c r="H17" s="117">
        <f>'Дод.4'!AR15</f>
        <v>3962023</v>
      </c>
      <c r="I17" s="117">
        <f>'Дод.4'!AW15</f>
        <v>0</v>
      </c>
      <c r="J17" s="214">
        <f>H17-D17</f>
        <v>0</v>
      </c>
      <c r="K17" s="214">
        <f>I17-E17</f>
        <v>0</v>
      </c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</row>
    <row r="18" spans="1:46" s="113" customFormat="1" ht="34.5" customHeight="1" hidden="1">
      <c r="A18" s="907" t="s">
        <v>722</v>
      </c>
      <c r="B18" s="219"/>
      <c r="C18" s="111">
        <f t="shared" si="0"/>
        <v>0</v>
      </c>
      <c r="D18" s="111"/>
      <c r="E18" s="111"/>
      <c r="F18" s="115"/>
      <c r="H18" s="117"/>
      <c r="I18" s="117"/>
      <c r="J18" s="114"/>
      <c r="K18" s="214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</row>
    <row r="19" spans="1:46" s="113" customFormat="1" ht="42.75" customHeight="1" hidden="1">
      <c r="A19" s="905"/>
      <c r="B19" s="219"/>
      <c r="C19" s="111">
        <f t="shared" si="0"/>
        <v>0</v>
      </c>
      <c r="D19" s="111"/>
      <c r="E19" s="111"/>
      <c r="F19" s="115"/>
      <c r="H19" s="117"/>
      <c r="I19" s="117"/>
      <c r="J19" s="114"/>
      <c r="K19" s="214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</row>
    <row r="20" spans="1:46" s="113" customFormat="1" ht="34.5" customHeight="1" hidden="1">
      <c r="A20" s="905"/>
      <c r="B20" s="219"/>
      <c r="C20" s="111">
        <f t="shared" si="0"/>
        <v>0</v>
      </c>
      <c r="D20" s="111"/>
      <c r="E20" s="111"/>
      <c r="F20" s="115"/>
      <c r="H20" s="117"/>
      <c r="I20" s="117"/>
      <c r="J20" s="114"/>
      <c r="K20" s="214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</row>
    <row r="21" spans="1:46" s="113" customFormat="1" ht="40.5" customHeight="1" hidden="1">
      <c r="A21" s="905"/>
      <c r="B21" s="220"/>
      <c r="C21" s="111"/>
      <c r="D21" s="111"/>
      <c r="E21" s="111"/>
      <c r="F21" s="115"/>
      <c r="H21" s="117"/>
      <c r="I21" s="117"/>
      <c r="J21" s="114"/>
      <c r="K21" s="214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</row>
    <row r="22" spans="1:46" s="113" customFormat="1" ht="57.75" customHeight="1">
      <c r="A22" s="905"/>
      <c r="B22" s="998" t="s">
        <v>81</v>
      </c>
      <c r="C22" s="999"/>
      <c r="D22" s="999"/>
      <c r="E22" s="999">
        <v>544900</v>
      </c>
      <c r="F22" s="115"/>
      <c r="H22" s="117"/>
      <c r="I22" s="117"/>
      <c r="J22" s="114"/>
      <c r="K22" s="214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</row>
    <row r="23" spans="1:11" ht="42" customHeight="1">
      <c r="A23" s="905"/>
      <c r="B23" s="220" t="s">
        <v>783</v>
      </c>
      <c r="C23" s="111">
        <f t="shared" si="0"/>
        <v>713847</v>
      </c>
      <c r="D23" s="112">
        <f>'Дод.4'!AR16</f>
        <v>713847</v>
      </c>
      <c r="E23" s="112"/>
      <c r="F23" s="115"/>
      <c r="H23" s="118"/>
      <c r="I23" s="97"/>
      <c r="J23" s="97"/>
      <c r="K23" s="214"/>
    </row>
    <row r="24" spans="1:11" ht="29.25" customHeight="1">
      <c r="A24" s="906"/>
      <c r="B24" s="223" t="s">
        <v>781</v>
      </c>
      <c r="C24" s="116">
        <f t="shared" si="0"/>
        <v>1258747</v>
      </c>
      <c r="D24" s="116">
        <f>SUM(D18:D23)</f>
        <v>713847</v>
      </c>
      <c r="E24" s="116">
        <f>SUM(E18:E23)</f>
        <v>544900</v>
      </c>
      <c r="F24" s="115"/>
      <c r="H24" s="118">
        <f>'Дод.4'!AQ16</f>
        <v>713847</v>
      </c>
      <c r="I24" s="118">
        <f>'Дод.4'!AW16</f>
        <v>544900</v>
      </c>
      <c r="J24" s="214">
        <f>H24-D24</f>
        <v>0</v>
      </c>
      <c r="K24" s="214">
        <f>I24-E24</f>
        <v>0</v>
      </c>
    </row>
    <row r="25" spans="1:11" ht="21.75" customHeight="1" hidden="1">
      <c r="A25" s="907" t="s">
        <v>35</v>
      </c>
      <c r="B25" s="219"/>
      <c r="C25" s="112">
        <f t="shared" si="0"/>
        <v>0</v>
      </c>
      <c r="D25" s="111"/>
      <c r="E25" s="111"/>
      <c r="F25" s="115"/>
      <c r="H25" s="118"/>
      <c r="I25" s="118"/>
      <c r="J25" s="97"/>
      <c r="K25" s="97"/>
    </row>
    <row r="26" spans="1:11" ht="21.75" customHeight="1" hidden="1">
      <c r="A26" s="905"/>
      <c r="B26" s="219"/>
      <c r="C26" s="112">
        <f>D26+E26</f>
        <v>0</v>
      </c>
      <c r="D26" s="111"/>
      <c r="E26" s="111"/>
      <c r="F26" s="115"/>
      <c r="H26" s="118"/>
      <c r="I26" s="118"/>
      <c r="J26" s="97"/>
      <c r="K26" s="97"/>
    </row>
    <row r="27" spans="1:11" ht="21.75" customHeight="1" hidden="1">
      <c r="A27" s="905"/>
      <c r="B27" s="219"/>
      <c r="C27" s="112">
        <f t="shared" si="0"/>
        <v>0</v>
      </c>
      <c r="D27" s="111"/>
      <c r="E27" s="111"/>
      <c r="F27" s="115"/>
      <c r="H27" s="118"/>
      <c r="I27" s="118"/>
      <c r="J27" s="97"/>
      <c r="K27" s="97"/>
    </row>
    <row r="28" spans="1:11" ht="21.75" customHeight="1" hidden="1">
      <c r="A28" s="905"/>
      <c r="B28" s="220"/>
      <c r="C28" s="112">
        <f t="shared" si="0"/>
        <v>0</v>
      </c>
      <c r="D28" s="111"/>
      <c r="E28" s="111"/>
      <c r="F28" s="115"/>
      <c r="H28" s="118"/>
      <c r="I28" s="118"/>
      <c r="J28" s="97"/>
      <c r="K28" s="97"/>
    </row>
    <row r="29" spans="1:11" ht="21.75" customHeight="1" hidden="1">
      <c r="A29" s="905"/>
      <c r="B29" s="220"/>
      <c r="C29" s="112">
        <f t="shared" si="0"/>
        <v>0</v>
      </c>
      <c r="D29" s="111"/>
      <c r="E29" s="111"/>
      <c r="F29" s="115"/>
      <c r="H29" s="118"/>
      <c r="I29" s="118"/>
      <c r="J29" s="97"/>
      <c r="K29" s="97"/>
    </row>
    <row r="30" spans="1:11" ht="42.75" customHeight="1" hidden="1">
      <c r="A30" s="905"/>
      <c r="B30" s="220"/>
      <c r="C30" s="111">
        <f t="shared" si="0"/>
        <v>0</v>
      </c>
      <c r="D30" s="111"/>
      <c r="E30" s="112"/>
      <c r="F30" s="115"/>
      <c r="H30" s="97"/>
      <c r="I30" s="97"/>
      <c r="J30" s="97"/>
      <c r="K30" s="97"/>
    </row>
    <row r="31" spans="1:11" ht="24.75" customHeight="1" hidden="1">
      <c r="A31" s="906"/>
      <c r="B31" s="223" t="s">
        <v>781</v>
      </c>
      <c r="C31" s="116">
        <f aca="true" t="shared" si="1" ref="C31:C44">D31+E31</f>
        <v>0</v>
      </c>
      <c r="D31" s="116">
        <f>SUM(D25:D30)</f>
        <v>0</v>
      </c>
      <c r="E31" s="116">
        <f>SUM(E25:E30)</f>
        <v>0</v>
      </c>
      <c r="F31" s="111">
        <f>SUM(F30:F30)</f>
        <v>0</v>
      </c>
      <c r="G31" s="111">
        <f>SUM(G30:G30)</f>
        <v>0</v>
      </c>
      <c r="H31" s="118" t="e">
        <f>'Дод.4'!#REF!</f>
        <v>#REF!</v>
      </c>
      <c r="I31" s="118" t="e">
        <f>'Дод.4'!#REF!</f>
        <v>#REF!</v>
      </c>
      <c r="J31" s="214" t="e">
        <f>H31-D31</f>
        <v>#REF!</v>
      </c>
      <c r="K31" s="214" t="e">
        <f>I31-E31</f>
        <v>#REF!</v>
      </c>
    </row>
    <row r="32" spans="1:11" ht="23.25" customHeight="1" hidden="1">
      <c r="A32" s="905" t="s">
        <v>723</v>
      </c>
      <c r="B32" s="220"/>
      <c r="C32" s="111">
        <f t="shared" si="1"/>
        <v>0</v>
      </c>
      <c r="D32" s="111"/>
      <c r="E32" s="111"/>
      <c r="F32" s="164"/>
      <c r="G32" s="164"/>
      <c r="H32" s="118"/>
      <c r="I32" s="118"/>
      <c r="J32" s="97"/>
      <c r="K32" s="97"/>
    </row>
    <row r="33" spans="1:11" ht="23.25" customHeight="1" hidden="1">
      <c r="A33" s="905"/>
      <c r="B33" s="220"/>
      <c r="C33" s="111">
        <f t="shared" si="1"/>
        <v>0</v>
      </c>
      <c r="D33" s="111"/>
      <c r="E33" s="111"/>
      <c r="F33" s="164"/>
      <c r="G33" s="164"/>
      <c r="H33" s="118"/>
      <c r="I33" s="118"/>
      <c r="J33" s="97"/>
      <c r="K33" s="97"/>
    </row>
    <row r="34" spans="1:11" ht="23.25" customHeight="1" hidden="1">
      <c r="A34" s="905"/>
      <c r="B34" s="220"/>
      <c r="C34" s="111">
        <f>D34+E34</f>
        <v>0</v>
      </c>
      <c r="D34" s="111"/>
      <c r="E34" s="111"/>
      <c r="F34" s="164"/>
      <c r="G34" s="164"/>
      <c r="H34" s="118"/>
      <c r="I34" s="118"/>
      <c r="J34" s="97"/>
      <c r="K34" s="97"/>
    </row>
    <row r="35" spans="1:11" ht="23.25" customHeight="1" hidden="1">
      <c r="A35" s="905"/>
      <c r="B35" s="220"/>
      <c r="C35" s="111">
        <f t="shared" si="1"/>
        <v>0</v>
      </c>
      <c r="D35" s="111"/>
      <c r="E35" s="111"/>
      <c r="F35" s="164"/>
      <c r="G35" s="164"/>
      <c r="H35" s="118"/>
      <c r="I35" s="118"/>
      <c r="J35" s="97"/>
      <c r="K35" s="97"/>
    </row>
    <row r="36" spans="1:11" ht="23.25" customHeight="1" hidden="1">
      <c r="A36" s="905"/>
      <c r="B36" s="220"/>
      <c r="C36" s="111">
        <f t="shared" si="1"/>
        <v>0</v>
      </c>
      <c r="D36" s="111"/>
      <c r="E36" s="111"/>
      <c r="F36" s="164"/>
      <c r="G36" s="164"/>
      <c r="H36" s="118"/>
      <c r="I36" s="118"/>
      <c r="J36" s="97"/>
      <c r="K36" s="97"/>
    </row>
    <row r="37" spans="1:11" ht="23.25" customHeight="1" hidden="1">
      <c r="A37" s="905"/>
      <c r="B37" s="220"/>
      <c r="C37" s="111">
        <f t="shared" si="1"/>
        <v>0</v>
      </c>
      <c r="D37" s="111"/>
      <c r="E37" s="111"/>
      <c r="F37" s="164"/>
      <c r="G37" s="164"/>
      <c r="H37" s="118"/>
      <c r="I37" s="118"/>
      <c r="J37" s="97"/>
      <c r="K37" s="97"/>
    </row>
    <row r="38" spans="1:11" ht="23.25" customHeight="1" hidden="1">
      <c r="A38" s="905"/>
      <c r="B38" s="220"/>
      <c r="C38" s="111">
        <f t="shared" si="1"/>
        <v>0</v>
      </c>
      <c r="D38" s="111"/>
      <c r="E38" s="111"/>
      <c r="F38" s="164"/>
      <c r="G38" s="164"/>
      <c r="H38" s="118"/>
      <c r="I38" s="118"/>
      <c r="J38" s="97"/>
      <c r="K38" s="97"/>
    </row>
    <row r="39" spans="1:11" ht="23.25" customHeight="1" hidden="1">
      <c r="A39" s="905"/>
      <c r="B39" s="220"/>
      <c r="C39" s="111">
        <f>D39+E39</f>
        <v>0</v>
      </c>
      <c r="D39" s="111"/>
      <c r="E39" s="111"/>
      <c r="F39" s="164"/>
      <c r="G39" s="164"/>
      <c r="H39" s="118"/>
      <c r="I39" s="118"/>
      <c r="J39" s="97"/>
      <c r="K39" s="97"/>
    </row>
    <row r="40" spans="1:11" ht="23.25" customHeight="1" hidden="1">
      <c r="A40" s="905"/>
      <c r="B40" s="220"/>
      <c r="C40" s="111">
        <f>D40+E40</f>
        <v>0</v>
      </c>
      <c r="D40" s="111"/>
      <c r="E40" s="111"/>
      <c r="F40" s="164"/>
      <c r="G40" s="164"/>
      <c r="H40" s="118"/>
      <c r="I40" s="118"/>
      <c r="J40" s="97"/>
      <c r="K40" s="97"/>
    </row>
    <row r="41" spans="1:11" ht="33.75" customHeight="1" hidden="1">
      <c r="A41" s="905"/>
      <c r="B41" s="998"/>
      <c r="C41" s="999">
        <f t="shared" si="1"/>
        <v>0</v>
      </c>
      <c r="D41" s="999"/>
      <c r="E41" s="999"/>
      <c r="F41" s="164"/>
      <c r="G41" s="164"/>
      <c r="H41" s="118"/>
      <c r="I41" s="118"/>
      <c r="J41" s="97"/>
      <c r="K41" s="97"/>
    </row>
    <row r="42" spans="1:11" ht="31.5" customHeight="1">
      <c r="A42" s="905"/>
      <c r="B42" s="220" t="s">
        <v>245</v>
      </c>
      <c r="C42" s="111">
        <f t="shared" si="1"/>
        <v>12300</v>
      </c>
      <c r="D42" s="111">
        <v>12300</v>
      </c>
      <c r="E42" s="111"/>
      <c r="F42" s="164"/>
      <c r="G42" s="164"/>
      <c r="H42" s="118"/>
      <c r="I42" s="118"/>
      <c r="J42" s="97"/>
      <c r="K42" s="97"/>
    </row>
    <row r="43" spans="1:11" ht="42" customHeight="1">
      <c r="A43" s="905"/>
      <c r="B43" s="220" t="s">
        <v>140</v>
      </c>
      <c r="C43" s="111">
        <f t="shared" si="1"/>
        <v>200000</v>
      </c>
      <c r="D43" s="111"/>
      <c r="E43" s="999">
        <f>50000+150000</f>
        <v>200000</v>
      </c>
      <c r="F43" s="164"/>
      <c r="G43" s="164"/>
      <c r="H43" s="118"/>
      <c r="I43" s="118"/>
      <c r="J43" s="97"/>
      <c r="K43" s="97"/>
    </row>
    <row r="44" spans="1:11" ht="42.75" customHeight="1">
      <c r="A44" s="905"/>
      <c r="B44" s="220" t="s">
        <v>783</v>
      </c>
      <c r="C44" s="111">
        <f t="shared" si="1"/>
        <v>696884</v>
      </c>
      <c r="D44" s="112">
        <f>'Дод.4'!AR17</f>
        <v>696884</v>
      </c>
      <c r="E44" s="112"/>
      <c r="F44" s="115"/>
      <c r="H44" s="97"/>
      <c r="I44" s="119"/>
      <c r="J44" s="97"/>
      <c r="K44" s="97"/>
    </row>
    <row r="45" spans="1:11" ht="28.5" customHeight="1">
      <c r="A45" s="906"/>
      <c r="B45" s="223" t="s">
        <v>781</v>
      </c>
      <c r="C45" s="116">
        <f aca="true" t="shared" si="2" ref="C45:C58">D45+E45</f>
        <v>909184</v>
      </c>
      <c r="D45" s="116">
        <f>SUM(D32:D44)</f>
        <v>709184</v>
      </c>
      <c r="E45" s="116">
        <f>SUM(E32:E44)</f>
        <v>200000</v>
      </c>
      <c r="F45" s="116">
        <f>SUM(F32:F44)</f>
        <v>0</v>
      </c>
      <c r="G45" s="116">
        <f>SUM(G32:G44)</f>
        <v>0</v>
      </c>
      <c r="H45" s="118">
        <f>'Дод.4'!AQ17</f>
        <v>709184</v>
      </c>
      <c r="I45" s="118">
        <f>'Дод.4'!AW17</f>
        <v>200000</v>
      </c>
      <c r="J45" s="214">
        <f>H45-D45</f>
        <v>0</v>
      </c>
      <c r="K45" s="214">
        <f>I45-E45</f>
        <v>0</v>
      </c>
    </row>
    <row r="46" spans="1:11" ht="33" customHeight="1" hidden="1">
      <c r="A46" s="905" t="s">
        <v>724</v>
      </c>
      <c r="B46" s="220"/>
      <c r="C46" s="111">
        <f t="shared" si="2"/>
        <v>0</v>
      </c>
      <c r="D46" s="111"/>
      <c r="E46" s="111"/>
      <c r="F46" s="165"/>
      <c r="G46" s="165"/>
      <c r="H46" s="118"/>
      <c r="I46" s="118"/>
      <c r="J46" s="97"/>
      <c r="K46" s="97"/>
    </row>
    <row r="47" spans="1:11" ht="33" customHeight="1" hidden="1">
      <c r="A47" s="905"/>
      <c r="B47" s="220"/>
      <c r="C47" s="111">
        <f t="shared" si="2"/>
        <v>0</v>
      </c>
      <c r="D47" s="111"/>
      <c r="E47" s="111"/>
      <c r="F47" s="165"/>
      <c r="G47" s="165"/>
      <c r="H47" s="118"/>
      <c r="I47" s="118"/>
      <c r="J47" s="97"/>
      <c r="K47" s="97"/>
    </row>
    <row r="48" spans="1:11" ht="30" customHeight="1" hidden="1">
      <c r="A48" s="905"/>
      <c r="B48" s="220"/>
      <c r="C48" s="111">
        <f>D48+E48</f>
        <v>0</v>
      </c>
      <c r="D48" s="111"/>
      <c r="E48" s="111"/>
      <c r="F48" s="165"/>
      <c r="G48" s="165"/>
      <c r="H48" s="118"/>
      <c r="I48" s="118"/>
      <c r="J48" s="97"/>
      <c r="K48" s="97"/>
    </row>
    <row r="49" spans="1:11" ht="43.5" customHeight="1" hidden="1">
      <c r="A49" s="905"/>
      <c r="B49" s="220"/>
      <c r="C49" s="111">
        <f>D49+E49</f>
        <v>0</v>
      </c>
      <c r="D49" s="111"/>
      <c r="E49" s="111"/>
      <c r="F49" s="165"/>
      <c r="G49" s="165"/>
      <c r="H49" s="118"/>
      <c r="I49" s="118"/>
      <c r="J49" s="97"/>
      <c r="K49" s="97"/>
    </row>
    <row r="50" spans="1:11" ht="28.5" customHeight="1" hidden="1">
      <c r="A50" s="905"/>
      <c r="B50" s="220"/>
      <c r="C50" s="111">
        <f>D50+E50</f>
        <v>0</v>
      </c>
      <c r="D50" s="111"/>
      <c r="E50" s="111"/>
      <c r="F50" s="165"/>
      <c r="G50" s="165"/>
      <c r="H50" s="118"/>
      <c r="I50" s="118"/>
      <c r="J50" s="97"/>
      <c r="K50" s="97"/>
    </row>
    <row r="51" spans="1:11" ht="44.25" customHeight="1" hidden="1">
      <c r="A51" s="905"/>
      <c r="B51" s="220"/>
      <c r="C51" s="111">
        <f t="shared" si="2"/>
        <v>0</v>
      </c>
      <c r="D51" s="111"/>
      <c r="E51" s="111"/>
      <c r="F51" s="165"/>
      <c r="G51" s="165"/>
      <c r="H51" s="118"/>
      <c r="I51" s="118"/>
      <c r="J51" s="97"/>
      <c r="K51" s="97"/>
    </row>
    <row r="52" spans="1:11" ht="44.25" customHeight="1" hidden="1">
      <c r="A52" s="905"/>
      <c r="B52" s="220"/>
      <c r="C52" s="111">
        <f t="shared" si="2"/>
        <v>0</v>
      </c>
      <c r="D52" s="111"/>
      <c r="E52" s="111"/>
      <c r="F52" s="165"/>
      <c r="G52" s="165"/>
      <c r="H52" s="118"/>
      <c r="I52" s="118"/>
      <c r="J52" s="97"/>
      <c r="K52" s="97"/>
    </row>
    <row r="53" spans="1:11" ht="44.25" customHeight="1" hidden="1">
      <c r="A53" s="905"/>
      <c r="B53" s="220"/>
      <c r="C53" s="111">
        <f t="shared" si="2"/>
        <v>0</v>
      </c>
      <c r="D53" s="111"/>
      <c r="E53" s="111"/>
      <c r="F53" s="165"/>
      <c r="G53" s="165"/>
      <c r="H53" s="118"/>
      <c r="I53" s="118"/>
      <c r="J53" s="97"/>
      <c r="K53" s="97"/>
    </row>
    <row r="54" spans="1:11" ht="44.25" customHeight="1">
      <c r="A54" s="905"/>
      <c r="B54" s="998" t="s">
        <v>70</v>
      </c>
      <c r="C54" s="999">
        <f t="shared" si="2"/>
        <v>16025</v>
      </c>
      <c r="D54" s="999">
        <v>16025</v>
      </c>
      <c r="E54" s="999"/>
      <c r="F54" s="165"/>
      <c r="G54" s="165"/>
      <c r="H54" s="118"/>
      <c r="I54" s="118"/>
      <c r="J54" s="97"/>
      <c r="K54" s="97"/>
    </row>
    <row r="55" spans="1:11" ht="30" customHeight="1">
      <c r="A55" s="905"/>
      <c r="B55" s="220" t="s">
        <v>246</v>
      </c>
      <c r="C55" s="111">
        <f t="shared" si="2"/>
        <v>25000</v>
      </c>
      <c r="D55" s="111">
        <v>25000</v>
      </c>
      <c r="E55" s="111"/>
      <c r="F55" s="165"/>
      <c r="G55" s="165"/>
      <c r="H55" s="118"/>
      <c r="I55" s="118"/>
      <c r="J55" s="97"/>
      <c r="K55" s="97"/>
    </row>
    <row r="56" spans="1:11" ht="60" customHeight="1">
      <c r="A56" s="905"/>
      <c r="B56" s="220" t="s">
        <v>764</v>
      </c>
      <c r="C56" s="111">
        <f t="shared" si="2"/>
        <v>3000</v>
      </c>
      <c r="D56" s="111">
        <v>3000</v>
      </c>
      <c r="E56" s="111"/>
      <c r="F56" s="165"/>
      <c r="G56" s="165"/>
      <c r="H56" s="118"/>
      <c r="I56" s="118"/>
      <c r="J56" s="97"/>
      <c r="K56" s="97"/>
    </row>
    <row r="57" spans="1:11" ht="117.75" customHeight="1">
      <c r="A57" s="905"/>
      <c r="B57" s="220" t="s">
        <v>635</v>
      </c>
      <c r="C57" s="111">
        <f t="shared" si="2"/>
        <v>50000</v>
      </c>
      <c r="D57" s="111"/>
      <c r="E57" s="111">
        <v>50000</v>
      </c>
      <c r="F57" s="165"/>
      <c r="G57" s="165"/>
      <c r="H57" s="118"/>
      <c r="I57" s="118"/>
      <c r="J57" s="97"/>
      <c r="K57" s="97"/>
    </row>
    <row r="58" spans="1:11" ht="39" customHeight="1">
      <c r="A58" s="905"/>
      <c r="B58" s="220" t="s">
        <v>783</v>
      </c>
      <c r="C58" s="111">
        <f t="shared" si="2"/>
        <v>3575277</v>
      </c>
      <c r="D58" s="548">
        <f>'Дод.4'!AR18</f>
        <v>3575277</v>
      </c>
      <c r="E58" s="112"/>
      <c r="F58" s="115"/>
      <c r="H58" s="97"/>
      <c r="I58" s="97"/>
      <c r="J58" s="97"/>
      <c r="K58" s="97"/>
    </row>
    <row r="59" spans="1:11" ht="30" customHeight="1">
      <c r="A59" s="906"/>
      <c r="B59" s="223" t="s">
        <v>781</v>
      </c>
      <c r="C59" s="116">
        <f aca="true" t="shared" si="3" ref="C59:C65">D59+E59</f>
        <v>3669302</v>
      </c>
      <c r="D59" s="120">
        <f>SUM(D46:D58)</f>
        <v>3619302</v>
      </c>
      <c r="E59" s="120">
        <f>SUM(E46:E58)</f>
        <v>50000</v>
      </c>
      <c r="F59" s="121">
        <f>SUM(F58:F58)</f>
        <v>0</v>
      </c>
      <c r="G59" s="121">
        <f>SUM(G58:G58)</f>
        <v>0</v>
      </c>
      <c r="H59" s="118">
        <f>'Дод.4'!AQ18</f>
        <v>3619302</v>
      </c>
      <c r="I59" s="118">
        <f>'Дод.4'!AW18</f>
        <v>50000</v>
      </c>
      <c r="J59" s="214">
        <f>H59-D59</f>
        <v>0</v>
      </c>
      <c r="K59" s="214">
        <f>I59-E59</f>
        <v>0</v>
      </c>
    </row>
    <row r="60" spans="1:11" ht="45.75" customHeight="1" hidden="1">
      <c r="A60" s="907" t="s">
        <v>725</v>
      </c>
      <c r="B60" s="220"/>
      <c r="C60" s="111">
        <f t="shared" si="3"/>
        <v>0</v>
      </c>
      <c r="D60" s="548"/>
      <c r="E60" s="548"/>
      <c r="F60" s="166"/>
      <c r="G60" s="166"/>
      <c r="H60" s="118"/>
      <c r="I60" s="118"/>
      <c r="J60" s="97"/>
      <c r="K60" s="97"/>
    </row>
    <row r="61" spans="1:11" ht="45.75" customHeight="1" hidden="1">
      <c r="A61" s="905"/>
      <c r="B61" s="220"/>
      <c r="C61" s="111">
        <f t="shared" si="3"/>
        <v>0</v>
      </c>
      <c r="D61" s="548"/>
      <c r="E61" s="548"/>
      <c r="F61" s="166"/>
      <c r="G61" s="166"/>
      <c r="H61" s="118"/>
      <c r="I61" s="118"/>
      <c r="J61" s="97"/>
      <c r="K61" s="97"/>
    </row>
    <row r="62" spans="1:11" ht="48" customHeight="1" hidden="1">
      <c r="A62" s="905"/>
      <c r="B62" s="220"/>
      <c r="C62" s="111">
        <f t="shared" si="3"/>
        <v>0</v>
      </c>
      <c r="D62" s="159"/>
      <c r="E62" s="159"/>
      <c r="F62" s="166"/>
      <c r="G62" s="166"/>
      <c r="H62" s="118"/>
      <c r="I62" s="118"/>
      <c r="J62" s="97"/>
      <c r="K62" s="97"/>
    </row>
    <row r="63" spans="1:11" ht="30" customHeight="1" hidden="1">
      <c r="A63" s="905"/>
      <c r="B63" s="220"/>
      <c r="C63" s="111">
        <f t="shared" si="3"/>
        <v>0</v>
      </c>
      <c r="D63" s="159"/>
      <c r="E63" s="159"/>
      <c r="F63" s="166"/>
      <c r="G63" s="166"/>
      <c r="H63" s="118"/>
      <c r="I63" s="118"/>
      <c r="J63" s="97"/>
      <c r="K63" s="97"/>
    </row>
    <row r="64" spans="1:11" ht="33" customHeight="1" hidden="1">
      <c r="A64" s="905"/>
      <c r="B64" s="220"/>
      <c r="C64" s="111">
        <f t="shared" si="3"/>
        <v>0</v>
      </c>
      <c r="D64" s="548"/>
      <c r="E64" s="548"/>
      <c r="F64" s="166"/>
      <c r="G64" s="166"/>
      <c r="H64" s="118"/>
      <c r="I64" s="118"/>
      <c r="J64" s="97"/>
      <c r="K64" s="97"/>
    </row>
    <row r="65" spans="1:11" ht="37.5" customHeight="1">
      <c r="A65" s="905"/>
      <c r="B65" s="220" t="s">
        <v>783</v>
      </c>
      <c r="C65" s="111">
        <f t="shared" si="3"/>
        <v>340958</v>
      </c>
      <c r="D65" s="548">
        <f>'Дод.4'!AR19</f>
        <v>340958</v>
      </c>
      <c r="E65" s="112"/>
      <c r="F65" s="115"/>
      <c r="H65" s="97"/>
      <c r="I65" s="97"/>
      <c r="J65" s="97"/>
      <c r="K65" s="97"/>
    </row>
    <row r="66" spans="1:11" ht="33" customHeight="1">
      <c r="A66" s="906"/>
      <c r="B66" s="223" t="s">
        <v>781</v>
      </c>
      <c r="C66" s="116">
        <f aca="true" t="shared" si="4" ref="C66:C76">D66+E66</f>
        <v>340958</v>
      </c>
      <c r="D66" s="120">
        <f>SUM(D60:D65)</f>
        <v>340958</v>
      </c>
      <c r="E66" s="120">
        <f>SUM(E60:E65)</f>
        <v>0</v>
      </c>
      <c r="F66" s="121">
        <f>SUM(F65:F65)</f>
        <v>0</v>
      </c>
      <c r="G66" s="121">
        <f>SUM(G65:G65)</f>
        <v>0</v>
      </c>
      <c r="H66" s="118">
        <f>'Дод.4'!AQ19</f>
        <v>340958</v>
      </c>
      <c r="I66" s="118">
        <f>'Дод.4'!AW19</f>
        <v>0</v>
      </c>
      <c r="J66" s="214">
        <f>H66-D66</f>
        <v>0</v>
      </c>
      <c r="K66" s="214">
        <f>I66-E66</f>
        <v>0</v>
      </c>
    </row>
    <row r="67" spans="1:11" ht="44.25" customHeight="1" hidden="1">
      <c r="A67" s="905" t="s">
        <v>506</v>
      </c>
      <c r="B67" s="219"/>
      <c r="C67" s="112">
        <f t="shared" si="4"/>
        <v>0</v>
      </c>
      <c r="D67" s="111"/>
      <c r="E67" s="111"/>
      <c r="F67" s="166"/>
      <c r="G67" s="166"/>
      <c r="H67" s="118"/>
      <c r="I67" s="118"/>
      <c r="J67" s="97"/>
      <c r="K67" s="97"/>
    </row>
    <row r="68" spans="1:11" ht="30.75" customHeight="1" hidden="1">
      <c r="A68" s="905"/>
      <c r="B68" s="219"/>
      <c r="C68" s="112">
        <f t="shared" si="4"/>
        <v>0</v>
      </c>
      <c r="D68" s="111"/>
      <c r="E68" s="111"/>
      <c r="F68" s="166"/>
      <c r="G68" s="166"/>
      <c r="H68" s="118"/>
      <c r="I68" s="118"/>
      <c r="J68" s="97"/>
      <c r="K68" s="97"/>
    </row>
    <row r="69" spans="1:11" ht="30.75" customHeight="1" hidden="1">
      <c r="A69" s="905"/>
      <c r="B69" s="219"/>
      <c r="C69" s="112">
        <f>D69+E69</f>
        <v>0</v>
      </c>
      <c r="D69" s="111"/>
      <c r="E69" s="111"/>
      <c r="F69" s="166"/>
      <c r="G69" s="166"/>
      <c r="H69" s="118"/>
      <c r="I69" s="118"/>
      <c r="J69" s="97"/>
      <c r="K69" s="97"/>
    </row>
    <row r="70" spans="1:11" ht="42.75" customHeight="1" hidden="1">
      <c r="A70" s="905"/>
      <c r="B70" s="219"/>
      <c r="C70" s="112">
        <f t="shared" si="4"/>
        <v>0</v>
      </c>
      <c r="D70" s="111"/>
      <c r="E70" s="111"/>
      <c r="F70" s="166"/>
      <c r="G70" s="166"/>
      <c r="H70" s="118"/>
      <c r="I70" s="118"/>
      <c r="J70" s="97"/>
      <c r="K70" s="97"/>
    </row>
    <row r="71" spans="1:11" ht="42.75" customHeight="1" hidden="1">
      <c r="A71" s="905"/>
      <c r="B71" s="219"/>
      <c r="C71" s="112">
        <f t="shared" si="4"/>
        <v>0</v>
      </c>
      <c r="D71" s="111"/>
      <c r="E71" s="111"/>
      <c r="F71" s="166"/>
      <c r="G71" s="166"/>
      <c r="H71" s="118"/>
      <c r="I71" s="118"/>
      <c r="J71" s="97"/>
      <c r="K71" s="97"/>
    </row>
    <row r="72" spans="1:11" ht="27.75" customHeight="1" hidden="1">
      <c r="A72" s="905"/>
      <c r="B72" s="219"/>
      <c r="C72" s="112">
        <f>D72+E72</f>
        <v>0</v>
      </c>
      <c r="D72" s="111"/>
      <c r="E72" s="111"/>
      <c r="F72" s="166"/>
      <c r="G72" s="166"/>
      <c r="H72" s="118"/>
      <c r="I72" s="118"/>
      <c r="J72" s="97"/>
      <c r="K72" s="97"/>
    </row>
    <row r="73" spans="1:11" ht="42" customHeight="1" hidden="1">
      <c r="A73" s="905"/>
      <c r="B73" s="220"/>
      <c r="C73" s="112">
        <f t="shared" si="4"/>
        <v>0</v>
      </c>
      <c r="D73" s="111"/>
      <c r="E73" s="111"/>
      <c r="F73" s="166"/>
      <c r="G73" s="166"/>
      <c r="H73" s="118"/>
      <c r="I73" s="118"/>
      <c r="J73" s="97"/>
      <c r="K73" s="97"/>
    </row>
    <row r="74" spans="1:11" ht="42" customHeight="1" hidden="1">
      <c r="A74" s="905"/>
      <c r="B74" s="220"/>
      <c r="C74" s="112">
        <f>D74+E74</f>
        <v>0</v>
      </c>
      <c r="D74" s="111"/>
      <c r="E74" s="111"/>
      <c r="F74" s="166"/>
      <c r="G74" s="166"/>
      <c r="H74" s="118"/>
      <c r="I74" s="118"/>
      <c r="J74" s="97"/>
      <c r="K74" s="97"/>
    </row>
    <row r="75" spans="1:11" ht="47.25" customHeight="1" hidden="1">
      <c r="A75" s="905"/>
      <c r="B75" s="220"/>
      <c r="C75" s="112">
        <f t="shared" si="4"/>
        <v>0</v>
      </c>
      <c r="D75" s="111"/>
      <c r="E75" s="111"/>
      <c r="F75" s="166"/>
      <c r="G75" s="166"/>
      <c r="H75" s="118"/>
      <c r="I75" s="118"/>
      <c r="J75" s="97"/>
      <c r="K75" s="97"/>
    </row>
    <row r="76" spans="1:11" ht="41.25" customHeight="1" hidden="1">
      <c r="A76" s="905"/>
      <c r="B76" s="220"/>
      <c r="C76" s="111">
        <f t="shared" si="4"/>
        <v>0</v>
      </c>
      <c r="D76" s="548"/>
      <c r="E76" s="112"/>
      <c r="F76" s="115"/>
      <c r="H76" s="97"/>
      <c r="I76" s="97"/>
      <c r="J76" s="97"/>
      <c r="K76" s="97"/>
    </row>
    <row r="77" spans="1:11" ht="31.5" customHeight="1" hidden="1">
      <c r="A77" s="906"/>
      <c r="B77" s="223" t="s">
        <v>781</v>
      </c>
      <c r="C77" s="116">
        <f aca="true" t="shared" si="5" ref="C77:C82">D77+E77</f>
        <v>0</v>
      </c>
      <c r="D77" s="120">
        <f>SUM(D67:D76)</f>
        <v>0</v>
      </c>
      <c r="E77" s="120">
        <f>SUM(E67:E76)</f>
        <v>0</v>
      </c>
      <c r="F77" s="115"/>
      <c r="H77" s="118">
        <f>'Дод.4'!AQ20</f>
        <v>0</v>
      </c>
      <c r="I77" s="118">
        <f>'Дод.4'!AW20</f>
        <v>0</v>
      </c>
      <c r="J77" s="214">
        <f>H77-D77</f>
        <v>0</v>
      </c>
      <c r="K77" s="214">
        <f>I77-E77</f>
        <v>0</v>
      </c>
    </row>
    <row r="78" spans="1:11" ht="65.25" customHeight="1" hidden="1">
      <c r="A78" s="907" t="s">
        <v>726</v>
      </c>
      <c r="B78" s="220"/>
      <c r="C78" s="111">
        <f t="shared" si="5"/>
        <v>0</v>
      </c>
      <c r="D78" s="548"/>
      <c r="E78" s="548"/>
      <c r="F78" s="115"/>
      <c r="H78" s="118"/>
      <c r="I78" s="118"/>
      <c r="J78" s="97"/>
      <c r="K78" s="97"/>
    </row>
    <row r="79" spans="1:11" ht="63" customHeight="1" hidden="1">
      <c r="A79" s="905"/>
      <c r="B79" s="220"/>
      <c r="C79" s="111">
        <f t="shared" si="5"/>
        <v>0</v>
      </c>
      <c r="D79" s="548"/>
      <c r="E79" s="548"/>
      <c r="F79" s="115"/>
      <c r="H79" s="118"/>
      <c r="I79" s="118"/>
      <c r="J79" s="97"/>
      <c r="K79" s="97"/>
    </row>
    <row r="80" spans="1:11" ht="54" customHeight="1" hidden="1">
      <c r="A80" s="905"/>
      <c r="B80" s="220"/>
      <c r="C80" s="111">
        <f t="shared" si="5"/>
        <v>0</v>
      </c>
      <c r="D80" s="548"/>
      <c r="E80" s="548"/>
      <c r="F80" s="115"/>
      <c r="H80" s="118"/>
      <c r="I80" s="118"/>
      <c r="J80" s="97"/>
      <c r="K80" s="97"/>
    </row>
    <row r="81" spans="1:11" ht="42" customHeight="1">
      <c r="A81" s="905"/>
      <c r="B81" s="220" t="s">
        <v>241</v>
      </c>
      <c r="C81" s="111">
        <f>D81+E81</f>
        <v>44450</v>
      </c>
      <c r="D81" s="548">
        <v>44450</v>
      </c>
      <c r="E81" s="548"/>
      <c r="F81" s="115"/>
      <c r="H81" s="118"/>
      <c r="I81" s="118"/>
      <c r="J81" s="97"/>
      <c r="K81" s="97"/>
    </row>
    <row r="82" spans="1:11" ht="46.5" customHeight="1">
      <c r="A82" s="905"/>
      <c r="B82" s="220" t="s">
        <v>783</v>
      </c>
      <c r="C82" s="111">
        <f t="shared" si="5"/>
        <v>262438</v>
      </c>
      <c r="D82" s="548">
        <f>'Дод.4'!AR21</f>
        <v>262438</v>
      </c>
      <c r="E82" s="112"/>
      <c r="F82" s="115"/>
      <c r="H82" s="97"/>
      <c r="I82" s="97"/>
      <c r="J82" s="97"/>
      <c r="K82" s="97"/>
    </row>
    <row r="83" spans="1:11" ht="30.75" customHeight="1">
      <c r="A83" s="906"/>
      <c r="B83" s="223" t="s">
        <v>781</v>
      </c>
      <c r="C83" s="116">
        <f aca="true" t="shared" si="6" ref="C83:C93">D83+E83</f>
        <v>306888</v>
      </c>
      <c r="D83" s="120">
        <f>SUM(D78:D82)</f>
        <v>306888</v>
      </c>
      <c r="E83" s="120">
        <f>SUM(E78:E82)</f>
        <v>0</v>
      </c>
      <c r="F83" s="115"/>
      <c r="H83" s="118">
        <f>'Дод.4'!AQ21</f>
        <v>306888</v>
      </c>
      <c r="I83" s="118">
        <f>'Дод.4'!AW21</f>
        <v>0</v>
      </c>
      <c r="J83" s="214">
        <f>H83-D83</f>
        <v>0</v>
      </c>
      <c r="K83" s="214">
        <f>I83-E83</f>
        <v>0</v>
      </c>
    </row>
    <row r="84" spans="1:11" ht="28.5" customHeight="1" hidden="1">
      <c r="A84" s="905" t="s">
        <v>727</v>
      </c>
      <c r="B84" s="218"/>
      <c r="C84" s="111">
        <f>D84+E84</f>
        <v>0</v>
      </c>
      <c r="D84" s="162"/>
      <c r="E84" s="548"/>
      <c r="F84" s="115"/>
      <c r="H84" s="118"/>
      <c r="I84" s="97"/>
      <c r="J84" s="97"/>
      <c r="K84" s="97"/>
    </row>
    <row r="85" spans="1:11" ht="27.75" customHeight="1" hidden="1">
      <c r="A85" s="905"/>
      <c r="B85" s="218"/>
      <c r="C85" s="111">
        <f>D85+E85</f>
        <v>0</v>
      </c>
      <c r="D85" s="162"/>
      <c r="E85" s="548"/>
      <c r="F85" s="115"/>
      <c r="H85" s="118"/>
      <c r="I85" s="97"/>
      <c r="J85" s="97"/>
      <c r="K85" s="97"/>
    </row>
    <row r="86" spans="1:11" ht="45" customHeight="1" hidden="1">
      <c r="A86" s="905"/>
      <c r="B86" s="218"/>
      <c r="C86" s="111">
        <f>D86+E86</f>
        <v>0</v>
      </c>
      <c r="D86" s="162"/>
      <c r="E86" s="159"/>
      <c r="F86" s="115"/>
      <c r="H86" s="118"/>
      <c r="I86" s="97"/>
      <c r="J86" s="97"/>
      <c r="K86" s="97"/>
    </row>
    <row r="87" spans="1:11" ht="42.75" customHeight="1" hidden="1">
      <c r="A87" s="905"/>
      <c r="B87" s="218"/>
      <c r="C87" s="111">
        <f t="shared" si="6"/>
        <v>0</v>
      </c>
      <c r="D87" s="162"/>
      <c r="E87" s="548"/>
      <c r="F87" s="115"/>
      <c r="H87" s="118"/>
      <c r="I87" s="97"/>
      <c r="J87" s="97"/>
      <c r="K87" s="97"/>
    </row>
    <row r="88" spans="1:11" ht="3.75" customHeight="1" hidden="1">
      <c r="A88" s="905"/>
      <c r="B88" s="218"/>
      <c r="C88" s="111">
        <f t="shared" si="6"/>
        <v>0</v>
      </c>
      <c r="D88" s="162"/>
      <c r="E88" s="548"/>
      <c r="F88" s="115"/>
      <c r="H88" s="118"/>
      <c r="I88" s="97"/>
      <c r="J88" s="97"/>
      <c r="K88" s="97"/>
    </row>
    <row r="89" spans="1:11" ht="43.5" customHeight="1">
      <c r="A89" s="905"/>
      <c r="B89" s="220" t="s">
        <v>429</v>
      </c>
      <c r="C89" s="111">
        <f t="shared" si="6"/>
        <v>205789</v>
      </c>
      <c r="D89" s="1000">
        <f>75396+80650+49743</f>
        <v>205789</v>
      </c>
      <c r="E89" s="112"/>
      <c r="F89" s="115"/>
      <c r="H89" s="97"/>
      <c r="I89" s="119"/>
      <c r="J89" s="97"/>
      <c r="K89" s="97"/>
    </row>
    <row r="90" spans="1:11" ht="49.5" customHeight="1">
      <c r="A90" s="905"/>
      <c r="B90" s="220" t="s">
        <v>783</v>
      </c>
      <c r="C90" s="111">
        <f>D90+E90</f>
        <v>215588</v>
      </c>
      <c r="D90" s="112">
        <f>'Дод.4'!AR22</f>
        <v>215588</v>
      </c>
      <c r="E90" s="112"/>
      <c r="F90" s="115"/>
      <c r="H90" s="97"/>
      <c r="I90" s="119"/>
      <c r="J90" s="97"/>
      <c r="K90" s="97"/>
    </row>
    <row r="91" spans="1:11" ht="24.75" customHeight="1">
      <c r="A91" s="906"/>
      <c r="B91" s="223" t="s">
        <v>781</v>
      </c>
      <c r="C91" s="116">
        <f>D91+E91</f>
        <v>421377</v>
      </c>
      <c r="D91" s="122">
        <f>SUM(D84:D90)</f>
        <v>421377</v>
      </c>
      <c r="E91" s="122">
        <f>SUM(E84:E90)</f>
        <v>0</v>
      </c>
      <c r="F91" s="183"/>
      <c r="G91" s="123"/>
      <c r="H91" s="118">
        <f>'Дод.4'!AQ22</f>
        <v>421377</v>
      </c>
      <c r="I91" s="180">
        <f>'Дод.4'!AW22</f>
        <v>0</v>
      </c>
      <c r="J91" s="214">
        <f>H91-D91</f>
        <v>0</v>
      </c>
      <c r="K91" s="214">
        <f>I91-E91</f>
        <v>0</v>
      </c>
    </row>
    <row r="92" spans="1:11" ht="45.75" customHeight="1" hidden="1">
      <c r="A92" s="905" t="s">
        <v>728</v>
      </c>
      <c r="B92" s="429"/>
      <c r="C92" s="548">
        <f t="shared" si="6"/>
        <v>0</v>
      </c>
      <c r="D92" s="548"/>
      <c r="E92" s="112"/>
      <c r="F92" s="115"/>
      <c r="H92" s="118"/>
      <c r="I92" s="119"/>
      <c r="J92" s="97"/>
      <c r="K92" s="97"/>
    </row>
    <row r="93" spans="1:11" ht="33.75" customHeight="1" hidden="1">
      <c r="A93" s="905"/>
      <c r="B93" s="429"/>
      <c r="C93" s="548">
        <f t="shared" si="6"/>
        <v>0</v>
      </c>
      <c r="D93" s="548"/>
      <c r="E93" s="112"/>
      <c r="F93" s="115"/>
      <c r="H93" s="118"/>
      <c r="I93" s="119"/>
      <c r="J93" s="97"/>
      <c r="K93" s="97"/>
    </row>
    <row r="94" spans="1:11" ht="60.75" customHeight="1">
      <c r="A94" s="905"/>
      <c r="B94" s="220" t="s">
        <v>686</v>
      </c>
      <c r="C94" s="111">
        <f aca="true" t="shared" si="7" ref="C94:C108">D94+E94</f>
        <v>40000</v>
      </c>
      <c r="D94" s="112">
        <v>40000</v>
      </c>
      <c r="E94" s="112"/>
      <c r="F94" s="115"/>
      <c r="H94" s="118"/>
      <c r="I94" s="119"/>
      <c r="J94" s="97"/>
      <c r="K94" s="97"/>
    </row>
    <row r="95" spans="1:11" ht="43.5" customHeight="1">
      <c r="A95" s="905"/>
      <c r="B95" s="220" t="s">
        <v>690</v>
      </c>
      <c r="C95" s="111">
        <f t="shared" si="7"/>
        <v>30000</v>
      </c>
      <c r="D95" s="112">
        <v>30000</v>
      </c>
      <c r="E95" s="112"/>
      <c r="F95" s="115"/>
      <c r="H95" s="118"/>
      <c r="I95" s="119"/>
      <c r="J95" s="97"/>
      <c r="K95" s="97"/>
    </row>
    <row r="96" spans="1:11" ht="42" customHeight="1">
      <c r="A96" s="905"/>
      <c r="B96" s="618" t="s">
        <v>428</v>
      </c>
      <c r="C96" s="111">
        <f t="shared" si="7"/>
        <v>150000</v>
      </c>
      <c r="D96" s="112"/>
      <c r="E96" s="1000">
        <f>50000+100000</f>
        <v>150000</v>
      </c>
      <c r="F96" s="115"/>
      <c r="H96" s="118"/>
      <c r="I96" s="119"/>
      <c r="J96" s="97"/>
      <c r="K96" s="97"/>
    </row>
    <row r="97" spans="1:11" ht="121.5" customHeight="1">
      <c r="A97" s="905"/>
      <c r="B97" s="219" t="s">
        <v>636</v>
      </c>
      <c r="C97" s="111">
        <f>D97+E97</f>
        <v>150000</v>
      </c>
      <c r="D97" s="112"/>
      <c r="E97" s="112">
        <v>150000</v>
      </c>
      <c r="F97" s="115"/>
      <c r="H97" s="118"/>
      <c r="I97" s="119"/>
      <c r="J97" s="97"/>
      <c r="K97" s="97"/>
    </row>
    <row r="98" spans="1:11" ht="42.75" customHeight="1">
      <c r="A98" s="905"/>
      <c r="B98" s="220" t="s">
        <v>783</v>
      </c>
      <c r="C98" s="111">
        <f t="shared" si="7"/>
        <v>780912</v>
      </c>
      <c r="D98" s="112">
        <f>'Дод.4'!AR23</f>
        <v>780912</v>
      </c>
      <c r="E98" s="112"/>
      <c r="F98" s="115"/>
      <c r="H98" s="97"/>
      <c r="I98" s="119"/>
      <c r="J98" s="97"/>
      <c r="K98" s="97"/>
    </row>
    <row r="99" spans="1:11" ht="33" customHeight="1">
      <c r="A99" s="906"/>
      <c r="B99" s="223" t="s">
        <v>781</v>
      </c>
      <c r="C99" s="116">
        <f t="shared" si="7"/>
        <v>1150912</v>
      </c>
      <c r="D99" s="122">
        <f>SUM(D92:D98)</f>
        <v>850912</v>
      </c>
      <c r="E99" s="122">
        <f>SUM(E92:E98)</f>
        <v>300000</v>
      </c>
      <c r="F99" s="115"/>
      <c r="H99" s="118">
        <f>'Дод.4'!AQ23</f>
        <v>850912</v>
      </c>
      <c r="I99" s="180">
        <f>'Дод.4'!AW23</f>
        <v>300000</v>
      </c>
      <c r="J99" s="214">
        <f>H99-D99</f>
        <v>0</v>
      </c>
      <c r="K99" s="214">
        <f>I99-E99</f>
        <v>0</v>
      </c>
    </row>
    <row r="100" spans="1:11" ht="44.25" customHeight="1" hidden="1">
      <c r="A100" s="905" t="s">
        <v>729</v>
      </c>
      <c r="B100" s="219"/>
      <c r="C100" s="111">
        <f t="shared" si="7"/>
        <v>0</v>
      </c>
      <c r="D100" s="112"/>
      <c r="E100" s="112"/>
      <c r="F100" s="115"/>
      <c r="H100" s="118"/>
      <c r="I100" s="182"/>
      <c r="J100" s="97"/>
      <c r="K100" s="97"/>
    </row>
    <row r="101" spans="1:11" ht="26.25" customHeight="1" hidden="1">
      <c r="A101" s="905"/>
      <c r="B101" s="219"/>
      <c r="C101" s="111">
        <f t="shared" si="7"/>
        <v>0</v>
      </c>
      <c r="D101" s="112"/>
      <c r="E101" s="112"/>
      <c r="F101" s="115"/>
      <c r="H101" s="118"/>
      <c r="I101" s="182"/>
      <c r="J101" s="97"/>
      <c r="K101" s="97"/>
    </row>
    <row r="102" spans="1:11" ht="45" customHeight="1" hidden="1">
      <c r="A102" s="905"/>
      <c r="B102" s="219"/>
      <c r="C102" s="111">
        <f t="shared" si="7"/>
        <v>0</v>
      </c>
      <c r="D102" s="112"/>
      <c r="E102" s="112"/>
      <c r="F102" s="115"/>
      <c r="H102" s="118"/>
      <c r="I102" s="182"/>
      <c r="J102" s="97"/>
      <c r="K102" s="97"/>
    </row>
    <row r="103" spans="1:11" ht="44.25" customHeight="1" hidden="1">
      <c r="A103" s="905"/>
      <c r="B103" s="219"/>
      <c r="C103" s="111">
        <f t="shared" si="7"/>
        <v>0</v>
      </c>
      <c r="D103" s="112"/>
      <c r="E103" s="112"/>
      <c r="F103" s="115"/>
      <c r="H103" s="118"/>
      <c r="I103" s="182"/>
      <c r="J103" s="97"/>
      <c r="K103" s="97"/>
    </row>
    <row r="104" spans="1:11" ht="27" customHeight="1" hidden="1">
      <c r="A104" s="905"/>
      <c r="B104" s="219"/>
      <c r="C104" s="111">
        <f>D104+E104</f>
        <v>0</v>
      </c>
      <c r="D104" s="112"/>
      <c r="E104" s="112"/>
      <c r="F104" s="115"/>
      <c r="H104" s="118"/>
      <c r="I104" s="182"/>
      <c r="J104" s="97"/>
      <c r="K104" s="97"/>
    </row>
    <row r="105" spans="1:11" ht="39" customHeight="1" hidden="1">
      <c r="A105" s="905"/>
      <c r="B105" s="219"/>
      <c r="C105" s="111">
        <f>D105+E105</f>
        <v>0</v>
      </c>
      <c r="D105" s="112"/>
      <c r="E105" s="112"/>
      <c r="F105" s="115"/>
      <c r="H105" s="118"/>
      <c r="I105" s="182"/>
      <c r="J105" s="97"/>
      <c r="K105" s="97"/>
    </row>
    <row r="106" spans="1:11" ht="40.5" customHeight="1" hidden="1">
      <c r="A106" s="905"/>
      <c r="B106" s="219"/>
      <c r="C106" s="111">
        <f t="shared" si="7"/>
        <v>0</v>
      </c>
      <c r="D106" s="112"/>
      <c r="E106" s="112"/>
      <c r="F106" s="115"/>
      <c r="H106" s="118"/>
      <c r="I106" s="182"/>
      <c r="J106" s="97"/>
      <c r="K106" s="97"/>
    </row>
    <row r="107" spans="1:11" ht="30" customHeight="1" hidden="1">
      <c r="A107" s="905"/>
      <c r="B107" s="220"/>
      <c r="C107" s="111">
        <f t="shared" si="7"/>
        <v>0</v>
      </c>
      <c r="D107" s="112"/>
      <c r="E107" s="112"/>
      <c r="F107" s="115"/>
      <c r="H107" s="118"/>
      <c r="I107" s="182"/>
      <c r="J107" s="97"/>
      <c r="K107" s="97"/>
    </row>
    <row r="108" spans="1:11" ht="45" customHeight="1">
      <c r="A108" s="905"/>
      <c r="B108" s="220" t="s">
        <v>762</v>
      </c>
      <c r="C108" s="111">
        <f t="shared" si="7"/>
        <v>10000</v>
      </c>
      <c r="D108" s="112">
        <v>10000</v>
      </c>
      <c r="E108" s="112"/>
      <c r="F108" s="115"/>
      <c r="H108" s="118"/>
      <c r="I108" s="182"/>
      <c r="J108" s="97"/>
      <c r="K108" s="97"/>
    </row>
    <row r="109" spans="1:11" ht="36" customHeight="1">
      <c r="A109" s="905"/>
      <c r="B109" s="220" t="s">
        <v>783</v>
      </c>
      <c r="C109" s="111">
        <f aca="true" t="shared" si="8" ref="C109:C124">D109+E109</f>
        <v>535450</v>
      </c>
      <c r="D109" s="112">
        <f>'Дод.4'!AR24</f>
        <v>535450</v>
      </c>
      <c r="E109" s="112"/>
      <c r="F109" s="115"/>
      <c r="H109" s="97"/>
      <c r="I109" s="97"/>
      <c r="J109" s="97"/>
      <c r="K109" s="97"/>
    </row>
    <row r="110" spans="1:11" ht="33" customHeight="1">
      <c r="A110" s="906"/>
      <c r="B110" s="223" t="s">
        <v>781</v>
      </c>
      <c r="C110" s="116">
        <f t="shared" si="8"/>
        <v>545450</v>
      </c>
      <c r="D110" s="122">
        <f>SUM(D100:D109)</f>
        <v>545450</v>
      </c>
      <c r="E110" s="122">
        <f>SUM(E100:E109)</f>
        <v>0</v>
      </c>
      <c r="F110" s="122">
        <f>SUM(F109:F109)</f>
        <v>0</v>
      </c>
      <c r="G110" s="124">
        <f>SUM(G109:G109)</f>
        <v>0</v>
      </c>
      <c r="H110" s="118">
        <f>'Дод.4'!AQ24</f>
        <v>545450</v>
      </c>
      <c r="I110" s="118">
        <f>'Дод.4'!AW24</f>
        <v>0</v>
      </c>
      <c r="J110" s="214">
        <f>H110-D110</f>
        <v>0</v>
      </c>
      <c r="K110" s="214">
        <f>I110-E110</f>
        <v>0</v>
      </c>
    </row>
    <row r="111" spans="1:11" ht="50.25" customHeight="1" hidden="1">
      <c r="A111" s="905" t="s">
        <v>730</v>
      </c>
      <c r="B111" s="429"/>
      <c r="C111" s="548">
        <f t="shared" si="8"/>
        <v>0</v>
      </c>
      <c r="D111" s="548"/>
      <c r="E111" s="112"/>
      <c r="F111" s="205"/>
      <c r="G111" s="167"/>
      <c r="H111" s="118"/>
      <c r="I111" s="118"/>
      <c r="J111" s="97"/>
      <c r="K111" s="97"/>
    </row>
    <row r="112" spans="1:11" ht="38.25" customHeight="1" hidden="1">
      <c r="A112" s="905"/>
      <c r="B112" s="220"/>
      <c r="C112" s="111">
        <f>D112+E112</f>
        <v>0</v>
      </c>
      <c r="D112" s="112"/>
      <c r="E112" s="112"/>
      <c r="F112" s="205"/>
      <c r="G112" s="167"/>
      <c r="H112" s="118"/>
      <c r="I112" s="118"/>
      <c r="J112" s="97"/>
      <c r="K112" s="97"/>
    </row>
    <row r="113" spans="1:11" ht="27" customHeight="1" hidden="1">
      <c r="A113" s="905"/>
      <c r="B113" s="220"/>
      <c r="C113" s="111">
        <f>D113+E113</f>
        <v>0</v>
      </c>
      <c r="D113" s="112"/>
      <c r="E113" s="112"/>
      <c r="F113" s="205"/>
      <c r="G113" s="167"/>
      <c r="H113" s="118"/>
      <c r="I113" s="118"/>
      <c r="J113" s="97"/>
      <c r="K113" s="97"/>
    </row>
    <row r="114" spans="1:11" ht="25.5" customHeight="1" hidden="1">
      <c r="A114" s="905"/>
      <c r="B114" s="220"/>
      <c r="C114" s="111">
        <f t="shared" si="8"/>
        <v>0</v>
      </c>
      <c r="D114" s="112"/>
      <c r="E114" s="112"/>
      <c r="F114" s="205"/>
      <c r="G114" s="167"/>
      <c r="H114" s="118"/>
      <c r="I114" s="118"/>
      <c r="J114" s="97"/>
      <c r="K114" s="97"/>
    </row>
    <row r="115" spans="1:11" ht="48" customHeight="1" hidden="1">
      <c r="A115" s="905"/>
      <c r="B115" s="220"/>
      <c r="C115" s="111">
        <f t="shared" si="8"/>
        <v>0</v>
      </c>
      <c r="D115" s="112"/>
      <c r="E115" s="112"/>
      <c r="F115" s="205"/>
      <c r="G115" s="167"/>
      <c r="H115" s="118"/>
      <c r="I115" s="118"/>
      <c r="J115" s="97"/>
      <c r="K115" s="97"/>
    </row>
    <row r="116" spans="1:11" ht="27.75" customHeight="1" hidden="1">
      <c r="A116" s="905"/>
      <c r="B116" s="220"/>
      <c r="C116" s="111">
        <f t="shared" si="8"/>
        <v>0</v>
      </c>
      <c r="D116" s="112"/>
      <c r="E116" s="112"/>
      <c r="F116" s="205"/>
      <c r="G116" s="167"/>
      <c r="H116" s="118"/>
      <c r="I116" s="118"/>
      <c r="J116" s="97"/>
      <c r="K116" s="97"/>
    </row>
    <row r="117" spans="1:11" ht="80.25" customHeight="1" hidden="1">
      <c r="A117" s="905"/>
      <c r="B117" s="220"/>
      <c r="C117" s="111">
        <f t="shared" si="8"/>
        <v>0</v>
      </c>
      <c r="D117" s="112"/>
      <c r="E117" s="112"/>
      <c r="F117" s="205"/>
      <c r="G117" s="167"/>
      <c r="H117" s="118"/>
      <c r="I117" s="118"/>
      <c r="J117" s="97"/>
      <c r="K117" s="97"/>
    </row>
    <row r="118" spans="1:11" ht="29.25" customHeight="1">
      <c r="A118" s="905"/>
      <c r="B118" s="715" t="s">
        <v>680</v>
      </c>
      <c r="C118" s="111">
        <f>D118+E118</f>
        <v>20000</v>
      </c>
      <c r="D118" s="112">
        <v>20000</v>
      </c>
      <c r="E118" s="112"/>
      <c r="F118" s="205"/>
      <c r="G118" s="167"/>
      <c r="H118" s="118"/>
      <c r="I118" s="118"/>
      <c r="J118" s="97"/>
      <c r="K118" s="97"/>
    </row>
    <row r="119" spans="1:11" ht="33.75" customHeight="1">
      <c r="A119" s="905"/>
      <c r="B119" s="715" t="s">
        <v>681</v>
      </c>
      <c r="C119" s="111">
        <f>D119+E119</f>
        <v>25000</v>
      </c>
      <c r="D119" s="112"/>
      <c r="E119" s="112">
        <v>25000</v>
      </c>
      <c r="F119" s="205"/>
      <c r="G119" s="167"/>
      <c r="H119" s="118"/>
      <c r="I119" s="118"/>
      <c r="J119" s="97"/>
      <c r="K119" s="97"/>
    </row>
    <row r="120" spans="1:11" ht="32.25" customHeight="1">
      <c r="A120" s="905"/>
      <c r="B120" s="715" t="s">
        <v>682</v>
      </c>
      <c r="C120" s="111">
        <f>D120+E120</f>
        <v>25000</v>
      </c>
      <c r="D120" s="112">
        <v>25000</v>
      </c>
      <c r="E120" s="112"/>
      <c r="F120" s="205"/>
      <c r="G120" s="167"/>
      <c r="H120" s="118"/>
      <c r="I120" s="118"/>
      <c r="J120" s="97"/>
      <c r="K120" s="97"/>
    </row>
    <row r="121" spans="1:11" ht="32.25" customHeight="1">
      <c r="A121" s="905"/>
      <c r="B121" s="715" t="s">
        <v>683</v>
      </c>
      <c r="C121" s="111">
        <f t="shared" si="8"/>
        <v>35000</v>
      </c>
      <c r="D121" s="112"/>
      <c r="E121" s="112">
        <v>35000</v>
      </c>
      <c r="F121" s="205"/>
      <c r="G121" s="167"/>
      <c r="H121" s="118"/>
      <c r="I121" s="118"/>
      <c r="J121" s="97"/>
      <c r="K121" s="97"/>
    </row>
    <row r="122" spans="1:11" ht="43.5" customHeight="1">
      <c r="A122" s="905"/>
      <c r="B122" s="715" t="s">
        <v>684</v>
      </c>
      <c r="C122" s="111">
        <f t="shared" si="8"/>
        <v>30000</v>
      </c>
      <c r="D122" s="112">
        <v>30000</v>
      </c>
      <c r="E122" s="112"/>
      <c r="F122" s="205"/>
      <c r="G122" s="167"/>
      <c r="H122" s="118"/>
      <c r="I122" s="118"/>
      <c r="J122" s="97"/>
      <c r="K122" s="97"/>
    </row>
    <row r="123" spans="1:11" ht="46.5" customHeight="1">
      <c r="A123" s="905"/>
      <c r="B123" s="218" t="s">
        <v>243</v>
      </c>
      <c r="C123" s="111">
        <f t="shared" si="8"/>
        <v>12600</v>
      </c>
      <c r="D123" s="112">
        <f>9600+3000</f>
        <v>12600</v>
      </c>
      <c r="E123" s="112"/>
      <c r="F123" s="205"/>
      <c r="G123" s="167"/>
      <c r="H123" s="118"/>
      <c r="I123" s="118"/>
      <c r="J123" s="97"/>
      <c r="K123" s="97"/>
    </row>
    <row r="124" spans="1:11" ht="42" customHeight="1">
      <c r="A124" s="905"/>
      <c r="B124" s="220" t="s">
        <v>783</v>
      </c>
      <c r="C124" s="111">
        <f t="shared" si="8"/>
        <v>2933858</v>
      </c>
      <c r="D124" s="112">
        <f>'Дод.4'!AR25</f>
        <v>2933858</v>
      </c>
      <c r="E124" s="112"/>
      <c r="F124" s="115"/>
      <c r="H124" s="97"/>
      <c r="I124" s="97"/>
      <c r="J124" s="97"/>
      <c r="K124" s="97"/>
    </row>
    <row r="125" spans="1:11" ht="25.5" customHeight="1">
      <c r="A125" s="906"/>
      <c r="B125" s="223" t="s">
        <v>781</v>
      </c>
      <c r="C125" s="116">
        <f aca="true" t="shared" si="9" ref="C125:C132">D125+E125</f>
        <v>3081458</v>
      </c>
      <c r="D125" s="122">
        <f>SUM(D111:D124)</f>
        <v>3021458</v>
      </c>
      <c r="E125" s="122">
        <f>SUM(E111:E124)</f>
        <v>60000</v>
      </c>
      <c r="F125" s="115"/>
      <c r="H125" s="118">
        <f>'Дод.4'!AQ25</f>
        <v>3021458</v>
      </c>
      <c r="I125" s="118">
        <f>'Дод.4'!AW25</f>
        <v>60000</v>
      </c>
      <c r="J125" s="214">
        <f>H125-D125</f>
        <v>0</v>
      </c>
      <c r="K125" s="214">
        <f>I125-E125</f>
        <v>0</v>
      </c>
    </row>
    <row r="126" spans="1:11" ht="66.75" customHeight="1" hidden="1">
      <c r="A126" s="905" t="s">
        <v>731</v>
      </c>
      <c r="B126" s="219"/>
      <c r="C126" s="111">
        <f t="shared" si="9"/>
        <v>0</v>
      </c>
      <c r="D126" s="112"/>
      <c r="E126" s="112"/>
      <c r="F126" s="115"/>
      <c r="H126" s="118"/>
      <c r="I126" s="97"/>
      <c r="J126" s="97"/>
      <c r="K126" s="97"/>
    </row>
    <row r="127" spans="1:11" ht="62.25" customHeight="1" hidden="1">
      <c r="A127" s="905"/>
      <c r="B127" s="219"/>
      <c r="C127" s="111">
        <f>D127+E127</f>
        <v>0</v>
      </c>
      <c r="D127" s="112"/>
      <c r="E127" s="112"/>
      <c r="F127" s="115"/>
      <c r="H127" s="118"/>
      <c r="I127" s="97"/>
      <c r="J127" s="97"/>
      <c r="K127" s="97"/>
    </row>
    <row r="128" spans="1:11" ht="44.25" customHeight="1" hidden="1">
      <c r="A128" s="905"/>
      <c r="B128" s="219"/>
      <c r="C128" s="111">
        <f t="shared" si="9"/>
        <v>0</v>
      </c>
      <c r="D128" s="112"/>
      <c r="E128" s="112"/>
      <c r="F128" s="115"/>
      <c r="H128" s="118"/>
      <c r="I128" s="97"/>
      <c r="J128" s="97"/>
      <c r="K128" s="97"/>
    </row>
    <row r="129" spans="1:11" ht="28.5" customHeight="1" hidden="1">
      <c r="A129" s="905"/>
      <c r="B129" s="219"/>
      <c r="C129" s="111">
        <f t="shared" si="9"/>
        <v>0</v>
      </c>
      <c r="D129" s="112"/>
      <c r="E129" s="112"/>
      <c r="F129" s="115"/>
      <c r="H129" s="118"/>
      <c r="I129" s="97"/>
      <c r="J129" s="97"/>
      <c r="K129" s="97"/>
    </row>
    <row r="130" spans="1:11" ht="46.5" customHeight="1" hidden="1">
      <c r="A130" s="905"/>
      <c r="B130" s="219"/>
      <c r="C130" s="111">
        <f t="shared" si="9"/>
        <v>0</v>
      </c>
      <c r="D130" s="112"/>
      <c r="E130" s="112"/>
      <c r="F130" s="115"/>
      <c r="H130" s="118"/>
      <c r="I130" s="97"/>
      <c r="J130" s="97"/>
      <c r="K130" s="97"/>
    </row>
    <row r="131" spans="1:11" ht="46.5" customHeight="1" hidden="1">
      <c r="A131" s="905"/>
      <c r="B131" s="219"/>
      <c r="C131" s="111">
        <f t="shared" si="9"/>
        <v>0</v>
      </c>
      <c r="D131" s="112"/>
      <c r="E131" s="112"/>
      <c r="F131" s="115"/>
      <c r="H131" s="118"/>
      <c r="I131" s="97"/>
      <c r="J131" s="97"/>
      <c r="K131" s="97"/>
    </row>
    <row r="132" spans="1:11" ht="44.25" customHeight="1">
      <c r="A132" s="905"/>
      <c r="B132" s="1001" t="s">
        <v>82</v>
      </c>
      <c r="C132" s="999">
        <f t="shared" si="9"/>
        <v>35204</v>
      </c>
      <c r="D132" s="1000">
        <v>35204</v>
      </c>
      <c r="E132" s="1000"/>
      <c r="F132" s="115"/>
      <c r="H132" s="118"/>
      <c r="I132" s="97"/>
      <c r="J132" s="97"/>
      <c r="K132" s="97"/>
    </row>
    <row r="133" spans="1:11" ht="62.25" customHeight="1">
      <c r="A133" s="905"/>
      <c r="B133" s="219" t="s">
        <v>247</v>
      </c>
      <c r="C133" s="111">
        <f>D133+E133</f>
        <v>15000</v>
      </c>
      <c r="D133" s="112">
        <f>10000+5000</f>
        <v>15000</v>
      </c>
      <c r="E133" s="112"/>
      <c r="F133" s="115"/>
      <c r="H133" s="118"/>
      <c r="I133" s="97"/>
      <c r="J133" s="97"/>
      <c r="K133" s="97"/>
    </row>
    <row r="134" spans="1:11" ht="48" customHeight="1">
      <c r="A134" s="905"/>
      <c r="B134" s="219" t="s">
        <v>763</v>
      </c>
      <c r="C134" s="111">
        <f>D134+E134</f>
        <v>10000</v>
      </c>
      <c r="D134" s="112">
        <v>10000</v>
      </c>
      <c r="E134" s="112"/>
      <c r="F134" s="115"/>
      <c r="H134" s="118"/>
      <c r="I134" s="97"/>
      <c r="J134" s="97"/>
      <c r="K134" s="97"/>
    </row>
    <row r="135" spans="1:11" ht="45" customHeight="1">
      <c r="A135" s="905"/>
      <c r="B135" s="220" t="s">
        <v>141</v>
      </c>
      <c r="C135" s="111">
        <f>D135+E135</f>
        <v>40000</v>
      </c>
      <c r="D135" s="112">
        <v>40000</v>
      </c>
      <c r="E135" s="112"/>
      <c r="F135" s="115"/>
      <c r="H135" s="118"/>
      <c r="I135" s="97"/>
      <c r="J135" s="97"/>
      <c r="K135" s="97"/>
    </row>
    <row r="136" spans="1:11" s="123" customFormat="1" ht="43.5" customHeight="1">
      <c r="A136" s="905"/>
      <c r="B136" s="220" t="s">
        <v>783</v>
      </c>
      <c r="C136" s="111">
        <f>D136+E136</f>
        <v>311764</v>
      </c>
      <c r="D136" s="111">
        <f>'Дод.4'!AR26</f>
        <v>311764</v>
      </c>
      <c r="E136" s="116"/>
      <c r="F136" s="206">
        <f>SUM(F23:F125)</f>
        <v>0</v>
      </c>
      <c r="G136" s="125">
        <f>SUM(G23:G125)</f>
        <v>0</v>
      </c>
      <c r="H136" s="126"/>
      <c r="I136" s="126"/>
      <c r="J136" s="126"/>
      <c r="K136" s="126"/>
    </row>
    <row r="137" spans="1:11" s="123" customFormat="1" ht="30.75" customHeight="1">
      <c r="A137" s="906"/>
      <c r="B137" s="223" t="s">
        <v>781</v>
      </c>
      <c r="C137" s="116">
        <f aca="true" t="shared" si="10" ref="C137:C142">D137+E137</f>
        <v>411968</v>
      </c>
      <c r="D137" s="116">
        <f>SUM(D126:D136)</f>
        <v>411968</v>
      </c>
      <c r="E137" s="116">
        <f>SUM(E126:E136)</f>
        <v>0</v>
      </c>
      <c r="F137" s="207"/>
      <c r="G137" s="126"/>
      <c r="H137" s="181">
        <f>'Дод.4'!AQ26</f>
        <v>411968</v>
      </c>
      <c r="I137" s="181">
        <f>'Дод.4'!AW26</f>
        <v>0</v>
      </c>
      <c r="J137" s="214">
        <f>H137-D137</f>
        <v>0</v>
      </c>
      <c r="K137" s="214">
        <f>I137-E137</f>
        <v>0</v>
      </c>
    </row>
    <row r="138" spans="1:11" ht="31.5" customHeight="1" hidden="1">
      <c r="A138" s="907" t="s">
        <v>732</v>
      </c>
      <c r="B138" s="220"/>
      <c r="C138" s="111">
        <f t="shared" si="10"/>
        <v>0</v>
      </c>
      <c r="D138" s="246"/>
      <c r="E138" s="112"/>
      <c r="F138" s="115"/>
      <c r="H138" s="97"/>
      <c r="I138" s="97"/>
      <c r="J138" s="97"/>
      <c r="K138" s="97"/>
    </row>
    <row r="139" spans="1:11" ht="32.25" customHeight="1" hidden="1">
      <c r="A139" s="905"/>
      <c r="B139" s="220"/>
      <c r="C139" s="111">
        <f t="shared" si="10"/>
        <v>0</v>
      </c>
      <c r="D139" s="246"/>
      <c r="E139" s="112"/>
      <c r="F139" s="115"/>
      <c r="H139" s="97"/>
      <c r="I139" s="97"/>
      <c r="J139" s="97"/>
      <c r="K139" s="97"/>
    </row>
    <row r="140" spans="1:11" ht="43.5" customHeight="1" hidden="1">
      <c r="A140" s="905"/>
      <c r="B140" s="220"/>
      <c r="C140" s="111">
        <f t="shared" si="10"/>
        <v>0</v>
      </c>
      <c r="D140" s="561"/>
      <c r="E140" s="112"/>
      <c r="F140" s="115"/>
      <c r="H140" s="97"/>
      <c r="I140" s="97"/>
      <c r="J140" s="97"/>
      <c r="K140" s="97"/>
    </row>
    <row r="141" spans="1:11" ht="39.75" customHeight="1">
      <c r="A141" s="905"/>
      <c r="B141" s="220" t="s">
        <v>761</v>
      </c>
      <c r="C141" s="111">
        <f t="shared" si="10"/>
        <v>80000</v>
      </c>
      <c r="D141" s="112">
        <v>80000</v>
      </c>
      <c r="E141" s="112"/>
      <c r="F141" s="115"/>
      <c r="H141" s="97"/>
      <c r="I141" s="97"/>
      <c r="J141" s="97"/>
      <c r="K141" s="97"/>
    </row>
    <row r="142" spans="1:11" ht="40.5" customHeight="1">
      <c r="A142" s="905"/>
      <c r="B142" s="220" t="s">
        <v>783</v>
      </c>
      <c r="C142" s="111">
        <f t="shared" si="10"/>
        <v>379884</v>
      </c>
      <c r="D142" s="548">
        <f>'Дод.4'!AR27</f>
        <v>379884</v>
      </c>
      <c r="E142" s="112"/>
      <c r="F142" s="115"/>
      <c r="H142" s="97"/>
      <c r="I142" s="97"/>
      <c r="J142" s="97"/>
      <c r="K142" s="97"/>
    </row>
    <row r="143" spans="1:11" ht="28.5" customHeight="1">
      <c r="A143" s="906"/>
      <c r="B143" s="223" t="s">
        <v>781</v>
      </c>
      <c r="C143" s="116">
        <f aca="true" t="shared" si="11" ref="C143:C158">D143+E143</f>
        <v>459884</v>
      </c>
      <c r="D143" s="120">
        <f>SUM(D138:D142)</f>
        <v>459884</v>
      </c>
      <c r="E143" s="120">
        <f>SUM(E138:E142)</f>
        <v>0</v>
      </c>
      <c r="F143" s="127">
        <f>SUM(F138:F142)</f>
        <v>0</v>
      </c>
      <c r="G143" s="127">
        <f>SUM(G138:G142)</f>
        <v>0</v>
      </c>
      <c r="H143" s="118">
        <f>'Дод.4'!AQ27</f>
        <v>459884</v>
      </c>
      <c r="I143" s="118">
        <f>'Дод.4'!AW27</f>
        <v>0</v>
      </c>
      <c r="J143" s="214">
        <f>H143-D143</f>
        <v>0</v>
      </c>
      <c r="K143" s="214">
        <f>I143-E143</f>
        <v>0</v>
      </c>
    </row>
    <row r="144" spans="1:6" ht="46.5" customHeight="1" hidden="1">
      <c r="A144" s="907" t="s">
        <v>287</v>
      </c>
      <c r="B144" s="220"/>
      <c r="C144" s="111">
        <f t="shared" si="11"/>
        <v>0</v>
      </c>
      <c r="D144" s="548"/>
      <c r="E144" s="112"/>
      <c r="F144" s="115"/>
    </row>
    <row r="145" spans="1:6" ht="39" customHeight="1" hidden="1">
      <c r="A145" s="905"/>
      <c r="B145" s="220"/>
      <c r="C145" s="111">
        <f t="shared" si="11"/>
        <v>0</v>
      </c>
      <c r="D145" s="548"/>
      <c r="E145" s="112"/>
      <c r="F145" s="115"/>
    </row>
    <row r="146" spans="1:6" ht="42.75" customHeight="1" hidden="1">
      <c r="A146" s="905"/>
      <c r="B146" s="220"/>
      <c r="C146" s="111">
        <f t="shared" si="11"/>
        <v>0</v>
      </c>
      <c r="D146" s="548"/>
      <c r="E146" s="112"/>
      <c r="F146" s="115"/>
    </row>
    <row r="147" spans="1:6" ht="35.25" customHeight="1" hidden="1">
      <c r="A147" s="905"/>
      <c r="B147" s="220"/>
      <c r="C147" s="111">
        <f t="shared" si="11"/>
        <v>0</v>
      </c>
      <c r="D147" s="548"/>
      <c r="E147" s="112"/>
      <c r="F147" s="115"/>
    </row>
    <row r="148" spans="1:6" ht="36" customHeight="1" hidden="1">
      <c r="A148" s="905"/>
      <c r="B148" s="220"/>
      <c r="C148" s="111">
        <f t="shared" si="11"/>
        <v>0</v>
      </c>
      <c r="D148" s="548"/>
      <c r="E148" s="112"/>
      <c r="F148" s="115"/>
    </row>
    <row r="149" spans="1:11" ht="45" customHeight="1" hidden="1">
      <c r="A149" s="906"/>
      <c r="B149" s="223" t="s">
        <v>781</v>
      </c>
      <c r="C149" s="116">
        <f t="shared" si="11"/>
        <v>0</v>
      </c>
      <c r="D149" s="120">
        <f>SUM(D144:D148)</f>
        <v>0</v>
      </c>
      <c r="E149" s="120">
        <f>SUM(E144:E148)</f>
        <v>0</v>
      </c>
      <c r="F149" s="115"/>
      <c r="H149" s="128">
        <f>'Дод.4'!AQ28</f>
        <v>0</v>
      </c>
      <c r="I149" s="128">
        <f>'Дод.4'!AW28</f>
        <v>0</v>
      </c>
      <c r="J149" s="214">
        <f>H149-D149</f>
        <v>0</v>
      </c>
      <c r="K149" s="214">
        <f>I149-E149</f>
        <v>0</v>
      </c>
    </row>
    <row r="150" spans="1:8" ht="43.5" customHeight="1" hidden="1">
      <c r="A150" s="905" t="s">
        <v>733</v>
      </c>
      <c r="B150" s="220"/>
      <c r="C150" s="111">
        <f t="shared" si="11"/>
        <v>0</v>
      </c>
      <c r="D150" s="112"/>
      <c r="E150" s="548"/>
      <c r="F150" s="115"/>
      <c r="H150" s="128"/>
    </row>
    <row r="151" spans="1:8" ht="47.25" customHeight="1" hidden="1">
      <c r="A151" s="905"/>
      <c r="B151" s="220"/>
      <c r="C151" s="111">
        <f t="shared" si="11"/>
        <v>0</v>
      </c>
      <c r="D151" s="112"/>
      <c r="E151" s="548"/>
      <c r="F151" s="115"/>
      <c r="H151" s="128"/>
    </row>
    <row r="152" spans="1:8" ht="58.5" customHeight="1" hidden="1">
      <c r="A152" s="905"/>
      <c r="B152" s="220"/>
      <c r="C152" s="111">
        <f t="shared" si="11"/>
        <v>0</v>
      </c>
      <c r="D152" s="112"/>
      <c r="E152" s="548"/>
      <c r="F152" s="115"/>
      <c r="H152" s="128"/>
    </row>
    <row r="153" spans="1:9" ht="48" customHeight="1" hidden="1">
      <c r="A153" s="905"/>
      <c r="B153" s="220"/>
      <c r="C153" s="111">
        <f>D153+E153</f>
        <v>0</v>
      </c>
      <c r="D153" s="112"/>
      <c r="E153" s="548"/>
      <c r="F153" s="115"/>
      <c r="H153" s="128"/>
      <c r="I153" s="210"/>
    </row>
    <row r="154" spans="1:9" ht="45" customHeight="1" hidden="1">
      <c r="A154" s="905"/>
      <c r="B154" s="220"/>
      <c r="C154" s="111">
        <f t="shared" si="11"/>
        <v>0</v>
      </c>
      <c r="D154" s="111"/>
      <c r="E154" s="548"/>
      <c r="F154" s="115"/>
      <c r="H154" s="128"/>
      <c r="I154" s="210"/>
    </row>
    <row r="155" spans="1:9" ht="45" customHeight="1" hidden="1">
      <c r="A155" s="905"/>
      <c r="B155" s="220"/>
      <c r="C155" s="111">
        <f t="shared" si="11"/>
        <v>0</v>
      </c>
      <c r="D155" s="111"/>
      <c r="E155" s="548"/>
      <c r="F155" s="115"/>
      <c r="H155" s="128"/>
      <c r="I155" s="210"/>
    </row>
    <row r="156" spans="1:9" ht="27" customHeight="1" hidden="1">
      <c r="A156" s="905"/>
      <c r="B156" s="220"/>
      <c r="C156" s="111">
        <f t="shared" si="11"/>
        <v>0</v>
      </c>
      <c r="D156" s="111"/>
      <c r="E156" s="548"/>
      <c r="F156" s="115"/>
      <c r="H156" s="128"/>
      <c r="I156" s="210"/>
    </row>
    <row r="157" spans="1:9" ht="45" customHeight="1" hidden="1">
      <c r="A157" s="905"/>
      <c r="B157" s="220"/>
      <c r="C157" s="111">
        <f t="shared" si="11"/>
        <v>0</v>
      </c>
      <c r="D157" s="111"/>
      <c r="E157" s="548"/>
      <c r="F157" s="115"/>
      <c r="H157" s="128"/>
      <c r="I157" s="210"/>
    </row>
    <row r="158" spans="1:6" ht="41.25" customHeight="1">
      <c r="A158" s="905"/>
      <c r="B158" s="220" t="s">
        <v>783</v>
      </c>
      <c r="C158" s="111">
        <f t="shared" si="11"/>
        <v>282522</v>
      </c>
      <c r="D158" s="548">
        <f>'Дод.4'!AR29</f>
        <v>282522</v>
      </c>
      <c r="E158" s="112"/>
      <c r="F158" s="115"/>
    </row>
    <row r="159" spans="1:11" ht="28.5" customHeight="1">
      <c r="A159" s="906"/>
      <c r="B159" s="223" t="s">
        <v>781</v>
      </c>
      <c r="C159" s="116">
        <f aca="true" t="shared" si="12" ref="C159:C177">D159+E159</f>
        <v>282522</v>
      </c>
      <c r="D159" s="120">
        <f>SUM(D150:D158)</f>
        <v>282522</v>
      </c>
      <c r="E159" s="120">
        <f>SUM(E150:E158)</f>
        <v>0</v>
      </c>
      <c r="F159" s="115"/>
      <c r="H159" s="128">
        <f>'Дод.4'!AQ29</f>
        <v>282522</v>
      </c>
      <c r="I159" s="128">
        <f>'Дод.4'!AW29</f>
        <v>0</v>
      </c>
      <c r="J159" s="214">
        <f>H159-D159</f>
        <v>0</v>
      </c>
      <c r="K159" s="214">
        <f>I159-E159</f>
        <v>0</v>
      </c>
    </row>
    <row r="160" spans="1:6" ht="46.5" customHeight="1" hidden="1">
      <c r="A160" s="907" t="s">
        <v>734</v>
      </c>
      <c r="B160" s="220"/>
      <c r="C160" s="111">
        <f t="shared" si="12"/>
        <v>0</v>
      </c>
      <c r="D160" s="548"/>
      <c r="E160" s="112"/>
      <c r="F160" s="115"/>
    </row>
    <row r="161" spans="1:6" ht="30" customHeight="1" hidden="1">
      <c r="A161" s="905"/>
      <c r="B161" s="219"/>
      <c r="C161" s="111">
        <f t="shared" si="12"/>
        <v>0</v>
      </c>
      <c r="D161" s="548"/>
      <c r="E161" s="112"/>
      <c r="F161" s="115"/>
    </row>
    <row r="162" spans="1:6" ht="29.25" customHeight="1" hidden="1">
      <c r="A162" s="908"/>
      <c r="B162" s="220"/>
      <c r="C162" s="111">
        <f t="shared" si="12"/>
        <v>0</v>
      </c>
      <c r="D162" s="548"/>
      <c r="E162" s="112"/>
      <c r="F162" s="115"/>
    </row>
    <row r="163" spans="1:6" ht="122.25" customHeight="1">
      <c r="A163" s="908"/>
      <c r="B163" s="220" t="s">
        <v>819</v>
      </c>
      <c r="C163" s="111">
        <f t="shared" si="12"/>
        <v>150000</v>
      </c>
      <c r="D163" s="548"/>
      <c r="E163" s="112">
        <v>150000</v>
      </c>
      <c r="F163" s="115"/>
    </row>
    <row r="164" spans="1:6" ht="40.5" customHeight="1">
      <c r="A164" s="908"/>
      <c r="B164" s="220" t="s">
        <v>783</v>
      </c>
      <c r="C164" s="111">
        <f t="shared" si="12"/>
        <v>2003603</v>
      </c>
      <c r="D164" s="548">
        <f>'Дод.4'!AR30</f>
        <v>2003603</v>
      </c>
      <c r="E164" s="112"/>
      <c r="F164" s="115"/>
    </row>
    <row r="165" spans="1:11" ht="29.25" customHeight="1">
      <c r="A165" s="909"/>
      <c r="B165" s="223" t="s">
        <v>781</v>
      </c>
      <c r="C165" s="116">
        <f t="shared" si="12"/>
        <v>2153603</v>
      </c>
      <c r="D165" s="120">
        <f>SUM(D160:D164)</f>
        <v>2003603</v>
      </c>
      <c r="E165" s="120">
        <f>SUM(E160:E164)</f>
        <v>150000</v>
      </c>
      <c r="F165" s="115"/>
      <c r="H165" s="128">
        <f>'Дод.4'!AQ30</f>
        <v>2003603</v>
      </c>
      <c r="I165" s="128">
        <f>'Дод.4'!AW30</f>
        <v>150000</v>
      </c>
      <c r="J165" s="214">
        <f>H165-D165</f>
        <v>0</v>
      </c>
      <c r="K165" s="214">
        <f>I165-E165</f>
        <v>0</v>
      </c>
    </row>
    <row r="166" spans="1:8" ht="44.25" customHeight="1" hidden="1">
      <c r="A166" s="905" t="s">
        <v>735</v>
      </c>
      <c r="B166" s="429"/>
      <c r="C166" s="548">
        <f t="shared" si="12"/>
        <v>0</v>
      </c>
      <c r="D166" s="548"/>
      <c r="E166" s="112"/>
      <c r="F166" s="115"/>
      <c r="H166" s="128"/>
    </row>
    <row r="167" spans="1:8" ht="44.25" customHeight="1" hidden="1">
      <c r="A167" s="905"/>
      <c r="B167" s="219"/>
      <c r="C167" s="111">
        <f>D167+E167</f>
        <v>0</v>
      </c>
      <c r="D167" s="159"/>
      <c r="E167" s="112"/>
      <c r="F167" s="115"/>
      <c r="H167" s="128"/>
    </row>
    <row r="168" spans="1:8" ht="26.25" customHeight="1" hidden="1">
      <c r="A168" s="905"/>
      <c r="B168" s="219"/>
      <c r="C168" s="111">
        <f>D168+E168</f>
        <v>0</v>
      </c>
      <c r="D168" s="159"/>
      <c r="E168" s="112"/>
      <c r="F168" s="115"/>
      <c r="H168" s="128"/>
    </row>
    <row r="169" spans="1:8" ht="29.25" customHeight="1" hidden="1">
      <c r="A169" s="905"/>
      <c r="B169" s="219"/>
      <c r="C169" s="111">
        <f t="shared" si="12"/>
        <v>0</v>
      </c>
      <c r="D169" s="159"/>
      <c r="E169" s="112"/>
      <c r="F169" s="115"/>
      <c r="H169" s="128"/>
    </row>
    <row r="170" spans="1:8" ht="29.25" customHeight="1" hidden="1">
      <c r="A170" s="905"/>
      <c r="B170" s="219"/>
      <c r="C170" s="111">
        <f t="shared" si="12"/>
        <v>0</v>
      </c>
      <c r="D170" s="159"/>
      <c r="E170" s="112"/>
      <c r="F170" s="115"/>
      <c r="H170" s="128"/>
    </row>
    <row r="171" spans="1:8" ht="30" customHeight="1" hidden="1">
      <c r="A171" s="905"/>
      <c r="B171" s="219"/>
      <c r="C171" s="111">
        <f t="shared" si="12"/>
        <v>0</v>
      </c>
      <c r="D171" s="159"/>
      <c r="E171" s="112"/>
      <c r="F171" s="115"/>
      <c r="H171" s="128"/>
    </row>
    <row r="172" spans="1:8" ht="42.75" customHeight="1" hidden="1">
      <c r="A172" s="905"/>
      <c r="B172" s="220"/>
      <c r="C172" s="111">
        <f t="shared" si="12"/>
        <v>0</v>
      </c>
      <c r="D172" s="548"/>
      <c r="E172" s="112"/>
      <c r="F172" s="115"/>
      <c r="H172" s="128"/>
    </row>
    <row r="173" spans="1:8" ht="36" customHeight="1" hidden="1">
      <c r="A173" s="905"/>
      <c r="B173" s="220"/>
      <c r="C173" s="111">
        <f t="shared" si="12"/>
        <v>0</v>
      </c>
      <c r="D173" s="548"/>
      <c r="E173" s="112"/>
      <c r="F173" s="115"/>
      <c r="H173" s="128"/>
    </row>
    <row r="174" spans="1:8" ht="42" customHeight="1">
      <c r="A174" s="905"/>
      <c r="B174" s="998" t="s">
        <v>71</v>
      </c>
      <c r="C174" s="999">
        <f t="shared" si="12"/>
        <v>32826</v>
      </c>
      <c r="D174" s="1002">
        <v>32826</v>
      </c>
      <c r="E174" s="1000"/>
      <c r="F174" s="115"/>
      <c r="H174" s="128"/>
    </row>
    <row r="175" spans="1:8" ht="31.5" customHeight="1">
      <c r="A175" s="905"/>
      <c r="B175" s="220" t="s">
        <v>679</v>
      </c>
      <c r="C175" s="111">
        <f t="shared" si="12"/>
        <v>300000</v>
      </c>
      <c r="D175" s="548">
        <v>300000</v>
      </c>
      <c r="E175" s="112"/>
      <c r="F175" s="115"/>
      <c r="H175" s="128"/>
    </row>
    <row r="176" spans="1:8" ht="29.25" customHeight="1">
      <c r="A176" s="905"/>
      <c r="B176" s="220" t="s">
        <v>694</v>
      </c>
      <c r="C176" s="111">
        <f t="shared" si="12"/>
        <v>50000</v>
      </c>
      <c r="D176" s="548">
        <v>50000</v>
      </c>
      <c r="E176" s="112"/>
      <c r="F176" s="115"/>
      <c r="H176" s="128"/>
    </row>
    <row r="177" spans="1:7" s="123" customFormat="1" ht="41.25" customHeight="1">
      <c r="A177" s="905"/>
      <c r="B177" s="220" t="s">
        <v>783</v>
      </c>
      <c r="C177" s="111">
        <f t="shared" si="12"/>
        <v>2824242</v>
      </c>
      <c r="D177" s="111">
        <f>'Дод.4'!AR31</f>
        <v>2824242</v>
      </c>
      <c r="E177" s="111"/>
      <c r="F177" s="186"/>
      <c r="G177" s="105"/>
    </row>
    <row r="178" spans="1:11" s="123" customFormat="1" ht="28.5" customHeight="1">
      <c r="A178" s="906"/>
      <c r="B178" s="223" t="s">
        <v>781</v>
      </c>
      <c r="C178" s="116">
        <f aca="true" t="shared" si="13" ref="C178:C193">D178+E178</f>
        <v>3207068</v>
      </c>
      <c r="D178" s="116">
        <f>SUM(D166:D177)</f>
        <v>3207068</v>
      </c>
      <c r="E178" s="116">
        <f>SUM(E166:E177)</f>
        <v>0</v>
      </c>
      <c r="F178" s="208"/>
      <c r="G178" s="129"/>
      <c r="H178" s="128">
        <f>'Дод.4'!AQ31</f>
        <v>3207068</v>
      </c>
      <c r="I178" s="184">
        <f>'Дод.4'!AW31</f>
        <v>0</v>
      </c>
      <c r="J178" s="214">
        <f>H178-D178</f>
        <v>0</v>
      </c>
      <c r="K178" s="214">
        <f>I178-E178</f>
        <v>0</v>
      </c>
    </row>
    <row r="179" spans="1:9" s="123" customFormat="1" ht="44.25" customHeight="1" hidden="1">
      <c r="A179" s="905" t="s">
        <v>817</v>
      </c>
      <c r="B179" s="219"/>
      <c r="C179" s="111">
        <f t="shared" si="13"/>
        <v>0</v>
      </c>
      <c r="D179" s="112"/>
      <c r="E179" s="111"/>
      <c r="F179" s="208"/>
      <c r="G179" s="129"/>
      <c r="H179" s="130"/>
      <c r="I179" s="185"/>
    </row>
    <row r="180" spans="1:9" s="123" customFormat="1" ht="39" customHeight="1" hidden="1">
      <c r="A180" s="905"/>
      <c r="B180" s="218"/>
      <c r="C180" s="111">
        <f>D180+E180</f>
        <v>0</v>
      </c>
      <c r="D180" s="112"/>
      <c r="E180" s="111"/>
      <c r="F180" s="208"/>
      <c r="G180" s="129"/>
      <c r="H180" s="130"/>
      <c r="I180" s="185"/>
    </row>
    <row r="181" spans="1:6" ht="40.5" customHeight="1" hidden="1">
      <c r="A181" s="905"/>
      <c r="B181" s="220"/>
      <c r="C181" s="111">
        <f t="shared" si="13"/>
        <v>0</v>
      </c>
      <c r="D181" s="548"/>
      <c r="E181" s="112"/>
      <c r="F181" s="115"/>
    </row>
    <row r="182" spans="1:6" ht="47.25" customHeight="1">
      <c r="A182" s="905"/>
      <c r="B182" s="998" t="s">
        <v>72</v>
      </c>
      <c r="C182" s="999">
        <f t="shared" si="13"/>
        <v>42350</v>
      </c>
      <c r="D182" s="1002">
        <v>42350</v>
      </c>
      <c r="E182" s="1000"/>
      <c r="F182" s="115"/>
    </row>
    <row r="183" spans="1:6" ht="56.25" customHeight="1">
      <c r="A183" s="905"/>
      <c r="B183" s="220" t="s">
        <v>427</v>
      </c>
      <c r="C183" s="111">
        <f t="shared" si="13"/>
        <v>2213</v>
      </c>
      <c r="D183" s="548">
        <v>2213</v>
      </c>
      <c r="E183" s="112"/>
      <c r="F183" s="115"/>
    </row>
    <row r="184" spans="1:11" ht="48.75" customHeight="1">
      <c r="A184" s="906"/>
      <c r="B184" s="223" t="s">
        <v>781</v>
      </c>
      <c r="C184" s="116">
        <f>D184+E184</f>
        <v>44563</v>
      </c>
      <c r="D184" s="120">
        <f>SUM(D179:D183)</f>
        <v>44563</v>
      </c>
      <c r="E184" s="120">
        <f>SUM(E179:E183)</f>
        <v>0</v>
      </c>
      <c r="F184" s="115"/>
      <c r="H184" s="128">
        <f>'Дод.4'!AQ32</f>
        <v>44563</v>
      </c>
      <c r="I184" s="128">
        <f>'Дод.4'!AW32</f>
        <v>0</v>
      </c>
      <c r="J184" s="214">
        <f>H184-D184</f>
        <v>0</v>
      </c>
      <c r="K184" s="214">
        <f>I184-E184</f>
        <v>0</v>
      </c>
    </row>
    <row r="185" spans="1:6" ht="44.25" customHeight="1" hidden="1">
      <c r="A185" s="907" t="s">
        <v>736</v>
      </c>
      <c r="B185" s="219"/>
      <c r="C185" s="111">
        <f>D185+E185</f>
        <v>0</v>
      </c>
      <c r="D185" s="548"/>
      <c r="E185" s="548"/>
      <c r="F185" s="115"/>
    </row>
    <row r="186" spans="1:6" ht="29.25" customHeight="1" hidden="1">
      <c r="A186" s="905"/>
      <c r="B186" s="219"/>
      <c r="C186" s="111">
        <f>D186+E186</f>
        <v>0</v>
      </c>
      <c r="D186" s="548"/>
      <c r="E186" s="548"/>
      <c r="F186" s="115"/>
    </row>
    <row r="187" spans="1:6" ht="48" customHeight="1" hidden="1">
      <c r="A187" s="905"/>
      <c r="B187" s="219"/>
      <c r="C187" s="111">
        <f>D187+E187</f>
        <v>0</v>
      </c>
      <c r="D187" s="548"/>
      <c r="E187" s="548"/>
      <c r="F187" s="115"/>
    </row>
    <row r="188" spans="1:6" ht="45.75" customHeight="1" hidden="1">
      <c r="A188" s="905"/>
      <c r="B188" s="219"/>
      <c r="C188" s="111">
        <f t="shared" si="13"/>
        <v>0</v>
      </c>
      <c r="D188" s="548"/>
      <c r="E188" s="548"/>
      <c r="F188" s="115"/>
    </row>
    <row r="189" spans="1:6" ht="30" customHeight="1" hidden="1">
      <c r="A189" s="905"/>
      <c r="B189" s="219"/>
      <c r="C189" s="111">
        <f>D189+E189</f>
        <v>0</v>
      </c>
      <c r="D189" s="548"/>
      <c r="E189" s="548"/>
      <c r="F189" s="115"/>
    </row>
    <row r="190" spans="1:6" ht="67.5" customHeight="1">
      <c r="A190" s="905"/>
      <c r="B190" s="220" t="s">
        <v>244</v>
      </c>
      <c r="C190" s="111">
        <f t="shared" si="13"/>
        <v>5000</v>
      </c>
      <c r="D190" s="548">
        <v>5000</v>
      </c>
      <c r="E190" s="548"/>
      <c r="F190" s="115"/>
    </row>
    <row r="191" spans="1:6" ht="42.75" customHeight="1">
      <c r="A191" s="905"/>
      <c r="B191" s="218" t="s">
        <v>321</v>
      </c>
      <c r="C191" s="111">
        <f t="shared" si="13"/>
        <v>10000</v>
      </c>
      <c r="D191" s="695">
        <v>10000</v>
      </c>
      <c r="E191" s="548"/>
      <c r="F191" s="115"/>
    </row>
    <row r="192" spans="1:6" ht="42.75" customHeight="1">
      <c r="A192" s="905"/>
      <c r="B192" s="218" t="s">
        <v>144</v>
      </c>
      <c r="C192" s="111">
        <f t="shared" si="13"/>
        <v>20000</v>
      </c>
      <c r="D192" s="162">
        <v>20000</v>
      </c>
      <c r="E192" s="548"/>
      <c r="F192" s="115"/>
    </row>
    <row r="193" spans="1:6" ht="42" customHeight="1">
      <c r="A193" s="905"/>
      <c r="B193" s="220" t="s">
        <v>783</v>
      </c>
      <c r="C193" s="111">
        <f t="shared" si="13"/>
        <v>1675527</v>
      </c>
      <c r="D193" s="548">
        <f>'Дод.4'!AR34</f>
        <v>1675527</v>
      </c>
      <c r="E193" s="112"/>
      <c r="F193" s="115"/>
    </row>
    <row r="194" spans="1:11" ht="33" customHeight="1">
      <c r="A194" s="906"/>
      <c r="B194" s="223" t="s">
        <v>781</v>
      </c>
      <c r="C194" s="116">
        <f>D194+E194</f>
        <v>1710527</v>
      </c>
      <c r="D194" s="120">
        <f>SUM(D185:D193)</f>
        <v>1710527</v>
      </c>
      <c r="E194" s="120">
        <f>SUM(E185:E193)</f>
        <v>0</v>
      </c>
      <c r="F194" s="115"/>
      <c r="H194" s="128">
        <f>'Дод.4'!AQ34</f>
        <v>1710527</v>
      </c>
      <c r="I194" s="128">
        <f>'Дод.4'!AW34</f>
        <v>0</v>
      </c>
      <c r="J194" s="214">
        <f>H194-D194</f>
        <v>0</v>
      </c>
      <c r="K194" s="214">
        <f>I194-E194</f>
        <v>0</v>
      </c>
    </row>
    <row r="195" spans="1:7" ht="45" customHeight="1" hidden="1">
      <c r="A195" s="905" t="s">
        <v>290</v>
      </c>
      <c r="B195" s="219"/>
      <c r="C195" s="111">
        <f aca="true" t="shared" si="14" ref="C195:C210">D195+E195</f>
        <v>0</v>
      </c>
      <c r="D195" s="111"/>
      <c r="E195" s="111"/>
      <c r="F195" s="186"/>
      <c r="G195" s="105"/>
    </row>
    <row r="196" spans="1:7" ht="45" customHeight="1" hidden="1">
      <c r="A196" s="905"/>
      <c r="B196" s="220"/>
      <c r="C196" s="111">
        <f>D196+E196</f>
        <v>0</v>
      </c>
      <c r="D196" s="111"/>
      <c r="E196" s="111"/>
      <c r="F196" s="186"/>
      <c r="G196" s="105"/>
    </row>
    <row r="197" spans="1:9" ht="45" customHeight="1" hidden="1">
      <c r="A197" s="905"/>
      <c r="B197" s="220"/>
      <c r="C197" s="111">
        <f t="shared" si="14"/>
        <v>0</v>
      </c>
      <c r="D197" s="111"/>
      <c r="E197" s="111"/>
      <c r="F197" s="186"/>
      <c r="G197" s="105"/>
      <c r="I197" s="115"/>
    </row>
    <row r="198" spans="1:9" ht="45" customHeight="1" hidden="1">
      <c r="A198" s="905"/>
      <c r="B198" s="220"/>
      <c r="C198" s="111">
        <f t="shared" si="14"/>
        <v>0</v>
      </c>
      <c r="D198" s="111"/>
      <c r="E198" s="111"/>
      <c r="F198" s="186"/>
      <c r="G198" s="105"/>
      <c r="I198" s="115"/>
    </row>
    <row r="199" spans="1:9" ht="27.75" customHeight="1" hidden="1">
      <c r="A199" s="905"/>
      <c r="B199" s="220"/>
      <c r="C199" s="111">
        <f t="shared" si="14"/>
        <v>0</v>
      </c>
      <c r="D199" s="111"/>
      <c r="E199" s="111"/>
      <c r="F199" s="186"/>
      <c r="G199" s="105"/>
      <c r="I199" s="115"/>
    </row>
    <row r="200" spans="1:11" ht="39" customHeight="1" hidden="1">
      <c r="A200" s="906"/>
      <c r="B200" s="223" t="s">
        <v>781</v>
      </c>
      <c r="C200" s="116">
        <f t="shared" si="14"/>
        <v>0</v>
      </c>
      <c r="D200" s="116">
        <f>SUM(D195:D199)</f>
        <v>0</v>
      </c>
      <c r="E200" s="116">
        <f>SUM(E195:E199)</f>
        <v>0</v>
      </c>
      <c r="F200" s="186"/>
      <c r="G200" s="105"/>
      <c r="H200" s="128">
        <f>'Дод.4'!AQ33</f>
        <v>0</v>
      </c>
      <c r="I200" s="184">
        <f>'Дод.4'!AW33</f>
        <v>0</v>
      </c>
      <c r="J200" s="214">
        <f>H200-D200</f>
        <v>0</v>
      </c>
      <c r="K200" s="214">
        <f>I200-E200</f>
        <v>0</v>
      </c>
    </row>
    <row r="201" spans="1:11" ht="42" customHeight="1" hidden="1">
      <c r="A201" s="913" t="s">
        <v>737</v>
      </c>
      <c r="B201" s="219"/>
      <c r="C201" s="111">
        <f t="shared" si="14"/>
        <v>0</v>
      </c>
      <c r="D201" s="111"/>
      <c r="E201" s="111"/>
      <c r="F201" s="186"/>
      <c r="G201" s="105"/>
      <c r="H201" s="128"/>
      <c r="I201" s="184"/>
      <c r="J201" s="214"/>
      <c r="K201" s="214"/>
    </row>
    <row r="202" spans="1:11" ht="63" customHeight="1" hidden="1">
      <c r="A202" s="914"/>
      <c r="B202" s="219"/>
      <c r="C202" s="111">
        <f t="shared" si="14"/>
        <v>0</v>
      </c>
      <c r="D202" s="111"/>
      <c r="E202" s="111"/>
      <c r="F202" s="186"/>
      <c r="G202" s="105"/>
      <c r="H202" s="128"/>
      <c r="I202" s="184"/>
      <c r="J202" s="214"/>
      <c r="K202" s="214"/>
    </row>
    <row r="203" spans="1:11" ht="45.75" customHeight="1" hidden="1">
      <c r="A203" s="914"/>
      <c r="B203" s="219"/>
      <c r="C203" s="111">
        <f t="shared" si="14"/>
        <v>0</v>
      </c>
      <c r="D203" s="111"/>
      <c r="E203" s="111"/>
      <c r="F203" s="186"/>
      <c r="G203" s="105"/>
      <c r="H203" s="128"/>
      <c r="I203" s="184"/>
      <c r="J203" s="214"/>
      <c r="K203" s="214"/>
    </row>
    <row r="204" spans="1:11" ht="45.75" customHeight="1" hidden="1">
      <c r="A204" s="914"/>
      <c r="B204" s="219"/>
      <c r="C204" s="111">
        <f t="shared" si="14"/>
        <v>0</v>
      </c>
      <c r="D204" s="111"/>
      <c r="E204" s="111"/>
      <c r="F204" s="186"/>
      <c r="G204" s="105"/>
      <c r="H204" s="128"/>
      <c r="I204" s="184"/>
      <c r="J204" s="214"/>
      <c r="K204" s="214"/>
    </row>
    <row r="205" spans="1:11" ht="45.75" customHeight="1" hidden="1">
      <c r="A205" s="914"/>
      <c r="B205" s="219"/>
      <c r="C205" s="111">
        <f t="shared" si="14"/>
        <v>0</v>
      </c>
      <c r="D205" s="111"/>
      <c r="E205" s="111"/>
      <c r="F205" s="186"/>
      <c r="G205" s="105"/>
      <c r="H205" s="128"/>
      <c r="I205" s="184"/>
      <c r="J205" s="214"/>
      <c r="K205" s="214"/>
    </row>
    <row r="206" spans="1:11" ht="45.75" customHeight="1" hidden="1">
      <c r="A206" s="914"/>
      <c r="B206" s="219"/>
      <c r="C206" s="111">
        <f t="shared" si="14"/>
        <v>0</v>
      </c>
      <c r="D206" s="111"/>
      <c r="E206" s="111"/>
      <c r="F206" s="186"/>
      <c r="G206" s="105"/>
      <c r="H206" s="128"/>
      <c r="I206" s="184"/>
      <c r="J206" s="214"/>
      <c r="K206" s="214"/>
    </row>
    <row r="207" spans="1:11" ht="48" customHeight="1" hidden="1">
      <c r="A207" s="914"/>
      <c r="B207" s="219"/>
      <c r="C207" s="111">
        <f t="shared" si="14"/>
        <v>0</v>
      </c>
      <c r="D207" s="111"/>
      <c r="E207" s="111"/>
      <c r="F207" s="186"/>
      <c r="G207" s="105"/>
      <c r="H207" s="128"/>
      <c r="I207" s="184"/>
      <c r="J207" s="214"/>
      <c r="K207" s="214"/>
    </row>
    <row r="208" spans="1:11" ht="42" customHeight="1" hidden="1">
      <c r="A208" s="914"/>
      <c r="B208" s="219"/>
      <c r="C208" s="111">
        <f>D208+E208</f>
        <v>0</v>
      </c>
      <c r="D208" s="111"/>
      <c r="E208" s="111"/>
      <c r="F208" s="186"/>
      <c r="G208" s="105"/>
      <c r="H208" s="128"/>
      <c r="I208" s="184"/>
      <c r="J208" s="214"/>
      <c r="K208" s="214"/>
    </row>
    <row r="209" spans="1:11" ht="45.75" customHeight="1" hidden="1">
      <c r="A209" s="914"/>
      <c r="B209" s="219"/>
      <c r="C209" s="111">
        <f t="shared" si="14"/>
        <v>0</v>
      </c>
      <c r="D209" s="111"/>
      <c r="E209" s="111"/>
      <c r="F209" s="186"/>
      <c r="G209" s="105"/>
      <c r="H209" s="128"/>
      <c r="I209" s="184"/>
      <c r="J209" s="214"/>
      <c r="K209" s="214"/>
    </row>
    <row r="210" spans="1:11" ht="44.25" customHeight="1" hidden="1">
      <c r="A210" s="914"/>
      <c r="B210" s="219"/>
      <c r="C210" s="111">
        <f t="shared" si="14"/>
        <v>0</v>
      </c>
      <c r="D210" s="111"/>
      <c r="E210" s="111"/>
      <c r="F210" s="186"/>
      <c r="G210" s="105"/>
      <c r="H210" s="128"/>
      <c r="I210" s="184"/>
      <c r="J210" s="214"/>
      <c r="K210" s="214"/>
    </row>
    <row r="211" spans="1:11" ht="44.25" customHeight="1" hidden="1">
      <c r="A211" s="914"/>
      <c r="B211" s="220"/>
      <c r="C211" s="111">
        <f>D211+E211</f>
        <v>0</v>
      </c>
      <c r="D211" s="111"/>
      <c r="E211" s="111"/>
      <c r="F211" s="186"/>
      <c r="G211" s="105"/>
      <c r="H211" s="128"/>
      <c r="I211" s="184"/>
      <c r="J211" s="214"/>
      <c r="K211" s="214"/>
    </row>
    <row r="212" spans="1:11" ht="48" customHeight="1" hidden="1">
      <c r="A212" s="914"/>
      <c r="B212" s="219"/>
      <c r="C212" s="111">
        <f aca="true" t="shared" si="15" ref="C212:C232">D212+E212</f>
        <v>0</v>
      </c>
      <c r="D212" s="111"/>
      <c r="E212" s="111"/>
      <c r="F212" s="186"/>
      <c r="G212" s="105"/>
      <c r="H212" s="128"/>
      <c r="I212" s="184"/>
      <c r="J212" s="214"/>
      <c r="K212" s="214"/>
    </row>
    <row r="213" spans="1:11" ht="30" customHeight="1" hidden="1">
      <c r="A213" s="914"/>
      <c r="B213" s="219"/>
      <c r="C213" s="111">
        <f t="shared" si="15"/>
        <v>0</v>
      </c>
      <c r="D213" s="111"/>
      <c r="E213" s="111"/>
      <c r="F213" s="186"/>
      <c r="G213" s="105"/>
      <c r="H213" s="128"/>
      <c r="I213" s="184"/>
      <c r="J213" s="214"/>
      <c r="K213" s="214"/>
    </row>
    <row r="214" spans="1:11" ht="45.75" customHeight="1" hidden="1">
      <c r="A214" s="914"/>
      <c r="B214" s="220"/>
      <c r="C214" s="111">
        <f t="shared" si="15"/>
        <v>0</v>
      </c>
      <c r="D214" s="111"/>
      <c r="E214" s="111"/>
      <c r="F214" s="186"/>
      <c r="G214" s="105"/>
      <c r="H214" s="128"/>
      <c r="I214" s="184"/>
      <c r="J214" s="214"/>
      <c r="K214" s="214"/>
    </row>
    <row r="215" spans="1:11" ht="27.75" customHeight="1" hidden="1">
      <c r="A215" s="914"/>
      <c r="B215" s="220"/>
      <c r="C215" s="111">
        <f>D215+E215</f>
        <v>0</v>
      </c>
      <c r="D215" s="111"/>
      <c r="E215" s="111"/>
      <c r="F215" s="186"/>
      <c r="G215" s="105"/>
      <c r="H215" s="128"/>
      <c r="I215" s="184"/>
      <c r="J215" s="214"/>
      <c r="K215" s="214"/>
    </row>
    <row r="216" spans="1:11" ht="47.25" customHeight="1" hidden="1">
      <c r="A216" s="914"/>
      <c r="B216" s="220"/>
      <c r="C216" s="111">
        <f>D216+E216</f>
        <v>0</v>
      </c>
      <c r="D216" s="111"/>
      <c r="E216" s="111"/>
      <c r="F216" s="186"/>
      <c r="G216" s="105"/>
      <c r="H216" s="128"/>
      <c r="I216" s="184"/>
      <c r="J216" s="214"/>
      <c r="K216" s="214"/>
    </row>
    <row r="217" spans="1:11" ht="45" customHeight="1">
      <c r="A217" s="914"/>
      <c r="B217" s="998" t="s">
        <v>73</v>
      </c>
      <c r="C217" s="999">
        <f t="shared" si="15"/>
        <v>6000</v>
      </c>
      <c r="D217" s="999">
        <v>6000</v>
      </c>
      <c r="E217" s="999"/>
      <c r="F217" s="186"/>
      <c r="G217" s="105"/>
      <c r="H217" s="128"/>
      <c r="I217" s="184"/>
      <c r="J217" s="214"/>
      <c r="K217" s="214"/>
    </row>
    <row r="218" spans="1:11" ht="45.75" customHeight="1">
      <c r="A218" s="914"/>
      <c r="B218" s="220" t="s">
        <v>250</v>
      </c>
      <c r="C218" s="111">
        <f t="shared" si="15"/>
        <v>5000</v>
      </c>
      <c r="D218" s="111">
        <v>5000</v>
      </c>
      <c r="E218" s="111"/>
      <c r="F218" s="186"/>
      <c r="G218" s="105"/>
      <c r="H218" s="128"/>
      <c r="I218" s="184"/>
      <c r="J218" s="214"/>
      <c r="K218" s="214"/>
    </row>
    <row r="219" spans="1:11" ht="38.25" customHeight="1">
      <c r="A219" s="914"/>
      <c r="B219" s="220" t="s">
        <v>242</v>
      </c>
      <c r="C219" s="111">
        <f t="shared" si="15"/>
        <v>10000</v>
      </c>
      <c r="D219" s="111">
        <v>10000</v>
      </c>
      <c r="E219" s="111"/>
      <c r="F219" s="186"/>
      <c r="G219" s="105"/>
      <c r="H219" s="128"/>
      <c r="I219" s="184"/>
      <c r="J219" s="214"/>
      <c r="K219" s="214"/>
    </row>
    <row r="220" spans="1:11" ht="38.25" customHeight="1">
      <c r="A220" s="914"/>
      <c r="B220" s="220" t="s">
        <v>249</v>
      </c>
      <c r="C220" s="111">
        <f t="shared" si="15"/>
        <v>22425</v>
      </c>
      <c r="D220" s="111">
        <v>22425</v>
      </c>
      <c r="E220" s="111"/>
      <c r="F220" s="186"/>
      <c r="G220" s="105"/>
      <c r="H220" s="128"/>
      <c r="I220" s="184"/>
      <c r="J220" s="214"/>
      <c r="K220" s="214"/>
    </row>
    <row r="221" spans="1:11" ht="45.75" customHeight="1">
      <c r="A221" s="914"/>
      <c r="B221" s="220" t="s">
        <v>765</v>
      </c>
      <c r="C221" s="111">
        <f t="shared" si="15"/>
        <v>90000</v>
      </c>
      <c r="D221" s="111"/>
      <c r="E221" s="111">
        <v>90000</v>
      </c>
      <c r="F221" s="186"/>
      <c r="G221" s="105"/>
      <c r="H221" s="128"/>
      <c r="I221" s="184"/>
      <c r="J221" s="214"/>
      <c r="K221" s="214"/>
    </row>
    <row r="222" spans="1:11" ht="39.75" customHeight="1">
      <c r="A222" s="914"/>
      <c r="B222" s="220" t="s">
        <v>142</v>
      </c>
      <c r="C222" s="111">
        <f t="shared" si="15"/>
        <v>34000</v>
      </c>
      <c r="D222" s="116"/>
      <c r="E222" s="111">
        <v>34000</v>
      </c>
      <c r="F222" s="186"/>
      <c r="G222" s="105"/>
      <c r="H222" s="128"/>
      <c r="I222" s="184"/>
      <c r="J222" s="214"/>
      <c r="K222" s="214"/>
    </row>
    <row r="223" spans="1:11" ht="45" customHeight="1">
      <c r="A223" s="914"/>
      <c r="B223" s="220" t="s">
        <v>965</v>
      </c>
      <c r="C223" s="111">
        <f t="shared" si="15"/>
        <v>150000</v>
      </c>
      <c r="D223" s="111"/>
      <c r="E223" s="111">
        <v>150000</v>
      </c>
      <c r="F223" s="186"/>
      <c r="G223" s="105"/>
      <c r="H223" s="128"/>
      <c r="I223" s="184"/>
      <c r="J223" s="214"/>
      <c r="K223" s="214"/>
    </row>
    <row r="224" spans="1:11" ht="45" customHeight="1">
      <c r="A224" s="914"/>
      <c r="B224" s="219" t="s">
        <v>143</v>
      </c>
      <c r="C224" s="111">
        <f t="shared" si="15"/>
        <v>20000</v>
      </c>
      <c r="D224" s="111">
        <v>20000</v>
      </c>
      <c r="E224" s="111"/>
      <c r="F224" s="186"/>
      <c r="G224" s="105"/>
      <c r="H224" s="128"/>
      <c r="I224" s="184"/>
      <c r="J224" s="214"/>
      <c r="K224" s="214"/>
    </row>
    <row r="225" spans="1:7" ht="41.25" customHeight="1">
      <c r="A225" s="914"/>
      <c r="B225" s="220" t="s">
        <v>783</v>
      </c>
      <c r="C225" s="111">
        <f t="shared" si="15"/>
        <v>17340376</v>
      </c>
      <c r="D225" s="111">
        <f>'Дод.4'!AR36</f>
        <v>17340376</v>
      </c>
      <c r="E225" s="111"/>
      <c r="F225" s="186"/>
      <c r="G225" s="105"/>
    </row>
    <row r="226" spans="1:11" ht="29.25" customHeight="1">
      <c r="A226" s="915"/>
      <c r="B226" s="223" t="s">
        <v>781</v>
      </c>
      <c r="C226" s="116">
        <f t="shared" si="15"/>
        <v>17677801</v>
      </c>
      <c r="D226" s="116">
        <f>SUM(D201:D225)</f>
        <v>17403801</v>
      </c>
      <c r="E226" s="116">
        <f>SUM(E201:E225)</f>
        <v>274000</v>
      </c>
      <c r="F226" s="208"/>
      <c r="G226" s="129"/>
      <c r="H226" s="128">
        <f>'Дод.4'!AQ36</f>
        <v>17403801</v>
      </c>
      <c r="I226" s="184">
        <f>'Дод.4'!AW36</f>
        <v>274000</v>
      </c>
      <c r="J226" s="214">
        <f>H226-D226</f>
        <v>0</v>
      </c>
      <c r="K226" s="214">
        <f>I226-E226</f>
        <v>0</v>
      </c>
    </row>
    <row r="227" spans="1:9" ht="68.25" customHeight="1" hidden="1">
      <c r="A227" s="910" t="s">
        <v>848</v>
      </c>
      <c r="B227" s="219"/>
      <c r="C227" s="111">
        <f t="shared" si="15"/>
        <v>0</v>
      </c>
      <c r="D227" s="111"/>
      <c r="E227" s="111"/>
      <c r="F227" s="209"/>
      <c r="G227" s="168"/>
      <c r="H227" s="128"/>
      <c r="I227" s="184"/>
    </row>
    <row r="228" spans="1:9" ht="64.5" customHeight="1" hidden="1">
      <c r="A228" s="911"/>
      <c r="B228" s="219"/>
      <c r="C228" s="111">
        <f>D228+E228</f>
        <v>0</v>
      </c>
      <c r="D228" s="111"/>
      <c r="E228" s="111"/>
      <c r="F228" s="209"/>
      <c r="G228" s="168"/>
      <c r="H228" s="128"/>
      <c r="I228" s="184"/>
    </row>
    <row r="229" spans="1:9" ht="73.5" customHeight="1" hidden="1">
      <c r="A229" s="911"/>
      <c r="B229" s="219"/>
      <c r="C229" s="111">
        <f t="shared" si="15"/>
        <v>0</v>
      </c>
      <c r="D229" s="111"/>
      <c r="E229" s="111"/>
      <c r="F229" s="209"/>
      <c r="G229" s="168"/>
      <c r="H229" s="128"/>
      <c r="I229" s="184"/>
    </row>
    <row r="230" spans="1:9" ht="59.25" customHeight="1">
      <c r="A230" s="911"/>
      <c r="B230" s="1001" t="s">
        <v>74</v>
      </c>
      <c r="C230" s="999">
        <f t="shared" si="15"/>
        <v>42000</v>
      </c>
      <c r="D230" s="999"/>
      <c r="E230" s="999">
        <v>42000</v>
      </c>
      <c r="F230" s="208"/>
      <c r="G230" s="129"/>
      <c r="H230" s="128"/>
      <c r="I230" s="128"/>
    </row>
    <row r="231" spans="1:9" ht="105" customHeight="1">
      <c r="A231" s="911"/>
      <c r="B231" s="219" t="s">
        <v>766</v>
      </c>
      <c r="C231" s="111">
        <f t="shared" si="15"/>
        <v>9000</v>
      </c>
      <c r="D231" s="111">
        <v>9000</v>
      </c>
      <c r="E231" s="111"/>
      <c r="F231" s="208"/>
      <c r="G231" s="129"/>
      <c r="H231" s="128"/>
      <c r="I231" s="128"/>
    </row>
    <row r="232" spans="1:11" ht="28.5" customHeight="1">
      <c r="A232" s="912"/>
      <c r="B232" s="224" t="s">
        <v>781</v>
      </c>
      <c r="C232" s="116">
        <f t="shared" si="15"/>
        <v>51000</v>
      </c>
      <c r="D232" s="116">
        <f>SUM(D227:D231)</f>
        <v>9000</v>
      </c>
      <c r="E232" s="116">
        <f>SUM(E227:E231)</f>
        <v>42000</v>
      </c>
      <c r="F232" s="208"/>
      <c r="G232" s="129"/>
      <c r="H232" s="128">
        <f>'Дод.4'!AQ39</f>
        <v>9000</v>
      </c>
      <c r="I232" s="128">
        <f>'Дод.4'!AW39</f>
        <v>42000</v>
      </c>
      <c r="J232" s="214">
        <f>H232-D232</f>
        <v>0</v>
      </c>
      <c r="K232" s="214">
        <f>I232-E232</f>
        <v>0</v>
      </c>
    </row>
    <row r="233" spans="1:11" ht="18.75">
      <c r="A233" s="786" t="s">
        <v>781</v>
      </c>
      <c r="B233" s="904"/>
      <c r="C233" s="116">
        <f>D233+E233</f>
        <v>41645235</v>
      </c>
      <c r="D233" s="122">
        <f>D17+D24+D31+D45+D59+D66+D77+D83+D91+D99+D110+D125+D137+D143+D149+D159+D165+D178+D184+D194+D200+D226+D232</f>
        <v>40024335</v>
      </c>
      <c r="E233" s="122">
        <f>E17+E24+E31+E45+E59+E66+E77+E83+E91+E99+E110+E125+E137+E143+E149+E159+E165+E178+E184+E194+E200+E226+E232</f>
        <v>1620900</v>
      </c>
      <c r="F233" s="131" t="e">
        <f>F17+#REF!+F24+F31+F45+F59+F66+F77+#REF!+F91+#REF!+F99+#REF!+F110+#REF!+F125+#REF!+#REF!+F137+F143+F149+#REF!+F159+F165+F178+F184+#REF!+F194+F226+F200+F83</f>
        <v>#REF!</v>
      </c>
      <c r="G233" s="131" t="e">
        <f>G17+#REF!+G24+G31+G45+G59+G66+G77+#REF!+G91+#REF!+G99+#REF!+G110+#REF!+G125+#REF!+#REF!+G137+G143+G149+#REF!+G159+G165+G178+G184+#REF!+G194+G226+G200+G83</f>
        <v>#REF!</v>
      </c>
      <c r="H233" s="128">
        <f>'Дод.4'!AQ40</f>
        <v>40024335</v>
      </c>
      <c r="I233" s="128">
        <f>'Дод.4'!AW40</f>
        <v>1620900</v>
      </c>
      <c r="J233" s="214">
        <f>H233-D233</f>
        <v>0</v>
      </c>
      <c r="K233" s="214">
        <f>I233-E233</f>
        <v>0</v>
      </c>
    </row>
    <row r="234" spans="1:5" ht="18.75" customHeight="1">
      <c r="A234" s="115"/>
      <c r="C234" s="217"/>
      <c r="D234" s="217"/>
      <c r="E234" s="217"/>
    </row>
    <row r="235" spans="1:5" ht="18.75">
      <c r="A235" s="115"/>
      <c r="B235" s="115" t="s">
        <v>823</v>
      </c>
      <c r="C235" s="217"/>
      <c r="D235" s="115" t="s">
        <v>208</v>
      </c>
      <c r="E235" s="217"/>
    </row>
    <row r="236" spans="1:5" ht="18.75">
      <c r="A236" s="115" t="s">
        <v>470</v>
      </c>
      <c r="B236" s="115" t="s">
        <v>28</v>
      </c>
      <c r="C236" s="184">
        <f>'Дод.3'!S116</f>
        <v>41645235</v>
      </c>
      <c r="D236" s="184">
        <f>'Дод.3'!H116</f>
        <v>40024335</v>
      </c>
      <c r="E236" s="184">
        <f>'Дод.3'!M116</f>
        <v>1620900</v>
      </c>
    </row>
    <row r="237" spans="1:5" ht="18.75">
      <c r="A237" s="115"/>
      <c r="C237" s="696">
        <f>C236-C233</f>
        <v>0</v>
      </c>
      <c r="D237" s="696">
        <f>D236-D233</f>
        <v>0</v>
      </c>
      <c r="E237" s="696">
        <f>E236-E233</f>
        <v>0</v>
      </c>
    </row>
    <row r="238" spans="1:5" ht="18.75">
      <c r="A238" s="115"/>
      <c r="C238" s="217"/>
      <c r="D238" s="217"/>
      <c r="E238" s="217"/>
    </row>
    <row r="239" spans="1:5" ht="18.75">
      <c r="A239" s="115"/>
      <c r="C239" s="217"/>
      <c r="D239" s="217"/>
      <c r="E239" s="217"/>
    </row>
    <row r="240" spans="1:5" ht="18.75">
      <c r="A240" s="115"/>
      <c r="C240" s="217"/>
      <c r="D240" s="217"/>
      <c r="E240" s="217"/>
    </row>
    <row r="241" spans="1:5" ht="18.75">
      <c r="A241" s="115"/>
      <c r="C241" s="217"/>
      <c r="D241" s="217"/>
      <c r="E241" s="217"/>
    </row>
    <row r="242" spans="1:5" ht="18.75">
      <c r="A242" s="115"/>
      <c r="C242" s="217"/>
      <c r="D242" s="217"/>
      <c r="E242" s="217"/>
    </row>
    <row r="243" spans="1:5" ht="18.75">
      <c r="A243" s="115"/>
      <c r="C243" s="217"/>
      <c r="D243" s="217"/>
      <c r="E243" s="217"/>
    </row>
    <row r="244" spans="3:5" ht="18.75">
      <c r="C244" s="217"/>
      <c r="D244" s="217"/>
      <c r="E244" s="217"/>
    </row>
    <row r="245" spans="3:5" ht="18.75">
      <c r="C245" s="217"/>
      <c r="D245" s="217"/>
      <c r="E245" s="217"/>
    </row>
  </sheetData>
  <sheetProtection/>
  <mergeCells count="28">
    <mergeCell ref="A60:A66"/>
    <mergeCell ref="H6:I6"/>
    <mergeCell ref="J6:K6"/>
    <mergeCell ref="A84:A91"/>
    <mergeCell ref="A67:A77"/>
    <mergeCell ref="A78:A83"/>
    <mergeCell ref="A150:A159"/>
    <mergeCell ref="A100:A110"/>
    <mergeCell ref="A92:A99"/>
    <mergeCell ref="A138:A143"/>
    <mergeCell ref="A111:A125"/>
    <mergeCell ref="A144:A149"/>
    <mergeCell ref="A126:A137"/>
    <mergeCell ref="D3:E3"/>
    <mergeCell ref="A4:F4"/>
    <mergeCell ref="A46:A59"/>
    <mergeCell ref="A8:A17"/>
    <mergeCell ref="A32:A45"/>
    <mergeCell ref="A18:A24"/>
    <mergeCell ref="A25:A31"/>
    <mergeCell ref="A233:B233"/>
    <mergeCell ref="A195:A200"/>
    <mergeCell ref="A160:A165"/>
    <mergeCell ref="A227:A232"/>
    <mergeCell ref="A185:A194"/>
    <mergeCell ref="A179:A184"/>
    <mergeCell ref="A166:A178"/>
    <mergeCell ref="A201:A226"/>
  </mergeCells>
  <printOptions/>
  <pageMargins left="0.75" right="0.75" top="0.69" bottom="0.61" header="0.5" footer="0.5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W165"/>
  <sheetViews>
    <sheetView view="pageBreakPreview" zoomScale="60" zoomScaleNormal="55" zoomScalePageLayoutView="0" workbookViewId="0" topLeftCell="B1">
      <selection activeCell="H93" sqref="H93"/>
    </sheetView>
  </sheetViews>
  <sheetFormatPr defaultColWidth="9.00390625" defaultRowHeight="12.75"/>
  <cols>
    <col min="1" max="1" width="12.75390625" style="0" hidden="1" customWidth="1"/>
    <col min="2" max="2" width="16.125" style="463" customWidth="1"/>
    <col min="3" max="3" width="16.625" style="463" customWidth="1"/>
    <col min="4" max="4" width="19.125" style="463" customWidth="1"/>
    <col min="5" max="5" width="56.875" style="0" customWidth="1"/>
    <col min="6" max="6" width="67.25390625" style="187" customWidth="1"/>
    <col min="7" max="7" width="19.625" style="187" customWidth="1"/>
    <col min="8" max="8" width="18.25390625" style="444" customWidth="1"/>
    <col min="9" max="9" width="18.25390625" style="0" customWidth="1"/>
    <col min="10" max="11" width="17.625" style="0" customWidth="1"/>
    <col min="12" max="12" width="20.00390625" style="582" customWidth="1"/>
    <col min="13" max="13" width="22.875" style="563" customWidth="1"/>
    <col min="14" max="14" width="20.875" style="582" customWidth="1"/>
    <col min="15" max="15" width="17.375" style="572" customWidth="1"/>
    <col min="16" max="16" width="11.25390625" style="381" hidden="1" customWidth="1"/>
    <col min="17" max="17" width="9.75390625" style="381" hidden="1" customWidth="1"/>
    <col min="18" max="18" width="9.125" style="381" customWidth="1"/>
    <col min="19" max="19" width="27.625" style="0" hidden="1" customWidth="1"/>
    <col min="20" max="20" width="18.125" style="0" customWidth="1"/>
    <col min="21" max="21" width="27.00390625" style="0" customWidth="1"/>
    <col min="22" max="22" width="27.75390625" style="0" customWidth="1"/>
  </cols>
  <sheetData>
    <row r="1" spans="2:11" ht="20.25">
      <c r="B1" s="170"/>
      <c r="C1" s="170"/>
      <c r="D1" s="170"/>
      <c r="E1" s="169"/>
      <c r="F1" s="188"/>
      <c r="G1" s="188"/>
      <c r="H1" s="440"/>
      <c r="I1" s="956" t="s">
        <v>638</v>
      </c>
      <c r="J1" s="957"/>
      <c r="K1" s="957"/>
    </row>
    <row r="2" spans="2:11" ht="20.25">
      <c r="B2" s="170"/>
      <c r="C2" s="170"/>
      <c r="D2" s="170"/>
      <c r="E2" s="169"/>
      <c r="F2" s="188"/>
      <c r="G2" s="188"/>
      <c r="H2" s="440"/>
      <c r="I2" s="958" t="s">
        <v>914</v>
      </c>
      <c r="J2" s="959"/>
      <c r="K2" s="959"/>
    </row>
    <row r="3" spans="2:11" ht="20.25">
      <c r="B3" s="170"/>
      <c r="C3" s="170"/>
      <c r="D3" s="170"/>
      <c r="E3" s="169"/>
      <c r="F3" s="188"/>
      <c r="G3" s="188"/>
      <c r="H3" s="440"/>
      <c r="I3" s="960" t="s">
        <v>68</v>
      </c>
      <c r="J3" s="957"/>
      <c r="K3" s="957"/>
    </row>
    <row r="4" spans="2:11" ht="20.25" customHeight="1">
      <c r="B4" s="950" t="s">
        <v>811</v>
      </c>
      <c r="C4" s="950"/>
      <c r="D4" s="950"/>
      <c r="E4" s="950"/>
      <c r="F4" s="950"/>
      <c r="G4" s="396"/>
      <c r="H4" s="396"/>
      <c r="I4" s="172"/>
      <c r="J4" s="171"/>
      <c r="K4" s="171"/>
    </row>
    <row r="5" spans="2:11" ht="21" customHeight="1">
      <c r="B5" s="173"/>
      <c r="C5" s="173"/>
      <c r="D5" s="173"/>
      <c r="E5" s="173"/>
      <c r="F5" s="173"/>
      <c r="G5" s="173"/>
      <c r="H5" s="173"/>
      <c r="I5" s="961" t="s">
        <v>812</v>
      </c>
      <c r="J5" s="962"/>
      <c r="K5" s="962"/>
    </row>
    <row r="6" spans="2:11" ht="7.5" customHeight="1" hidden="1">
      <c r="B6" s="170"/>
      <c r="C6" s="170"/>
      <c r="D6" s="170"/>
      <c r="E6" s="169"/>
      <c r="F6" s="189"/>
      <c r="G6" s="189"/>
      <c r="H6" s="440"/>
      <c r="I6" s="174"/>
      <c r="J6" s="171"/>
      <c r="K6" s="171"/>
    </row>
    <row r="7" spans="2:11" ht="24" customHeight="1">
      <c r="B7" s="951" t="s">
        <v>350</v>
      </c>
      <c r="C7" s="951" t="s">
        <v>349</v>
      </c>
      <c r="D7" s="951" t="s">
        <v>989</v>
      </c>
      <c r="E7" s="951" t="s">
        <v>351</v>
      </c>
      <c r="F7" s="951" t="s">
        <v>352</v>
      </c>
      <c r="G7" s="951" t="s">
        <v>353</v>
      </c>
      <c r="H7" s="951" t="s">
        <v>978</v>
      </c>
      <c r="I7" s="967" t="s">
        <v>573</v>
      </c>
      <c r="J7" s="963" t="s">
        <v>802</v>
      </c>
      <c r="K7" s="964"/>
    </row>
    <row r="8" spans="2:11" ht="71.25" customHeight="1">
      <c r="B8" s="952"/>
      <c r="C8" s="954"/>
      <c r="D8" s="952"/>
      <c r="E8" s="952"/>
      <c r="F8" s="952"/>
      <c r="G8" s="952"/>
      <c r="H8" s="952"/>
      <c r="I8" s="968"/>
      <c r="J8" s="965"/>
      <c r="K8" s="966"/>
    </row>
    <row r="9" spans="2:11" ht="67.5" customHeight="1">
      <c r="B9" s="953"/>
      <c r="C9" s="955"/>
      <c r="D9" s="953"/>
      <c r="E9" s="953"/>
      <c r="F9" s="953"/>
      <c r="G9" s="953"/>
      <c r="H9" s="953"/>
      <c r="I9" s="969"/>
      <c r="J9" s="619" t="s">
        <v>354</v>
      </c>
      <c r="K9" s="619" t="s">
        <v>355</v>
      </c>
    </row>
    <row r="10" spans="2:11" ht="29.25" customHeight="1">
      <c r="B10" s="438">
        <v>1</v>
      </c>
      <c r="C10" s="438">
        <v>2</v>
      </c>
      <c r="D10" s="438">
        <v>3</v>
      </c>
      <c r="E10" s="395">
        <v>4</v>
      </c>
      <c r="F10" s="395">
        <v>5</v>
      </c>
      <c r="G10" s="438">
        <v>6</v>
      </c>
      <c r="H10" s="438">
        <v>7</v>
      </c>
      <c r="I10" s="196">
        <v>8</v>
      </c>
      <c r="J10" s="438">
        <v>9</v>
      </c>
      <c r="K10" s="438">
        <v>10</v>
      </c>
    </row>
    <row r="11" spans="2:13" ht="36" customHeight="1">
      <c r="B11" s="452" t="s">
        <v>837</v>
      </c>
      <c r="C11" s="452"/>
      <c r="D11" s="452"/>
      <c r="E11" s="386" t="s">
        <v>917</v>
      </c>
      <c r="F11" s="292"/>
      <c r="G11" s="292"/>
      <c r="H11" s="447">
        <f>H12</f>
        <v>1622285</v>
      </c>
      <c r="I11" s="447">
        <f>I12</f>
        <v>1296758</v>
      </c>
      <c r="J11" s="447">
        <f>J12</f>
        <v>325527</v>
      </c>
      <c r="K11" s="447">
        <f>K12</f>
        <v>304677</v>
      </c>
      <c r="L11" s="592"/>
      <c r="M11" s="564"/>
    </row>
    <row r="12" spans="2:15" ht="36.75" customHeight="1">
      <c r="B12" s="453" t="s">
        <v>836</v>
      </c>
      <c r="C12" s="453"/>
      <c r="D12" s="453"/>
      <c r="E12" s="386" t="s">
        <v>917</v>
      </c>
      <c r="F12" s="292"/>
      <c r="G12" s="292"/>
      <c r="H12" s="447">
        <f>I12+J12</f>
        <v>1622285</v>
      </c>
      <c r="I12" s="447">
        <f>SUM(I13:I19)</f>
        <v>1296758</v>
      </c>
      <c r="J12" s="447">
        <f>SUM(J13:J19)</f>
        <v>325527</v>
      </c>
      <c r="K12" s="447">
        <f>SUM(K13:K19)</f>
        <v>304677</v>
      </c>
      <c r="L12" s="592" t="s">
        <v>174</v>
      </c>
      <c r="M12" s="565" t="s">
        <v>28</v>
      </c>
      <c r="N12" s="583" t="s">
        <v>19</v>
      </c>
      <c r="O12" s="573" t="s">
        <v>28</v>
      </c>
    </row>
    <row r="13" spans="2:15" ht="104.25" customHeight="1">
      <c r="B13" s="454" t="s">
        <v>1004</v>
      </c>
      <c r="C13" s="454" t="s">
        <v>1005</v>
      </c>
      <c r="D13" s="454" t="s">
        <v>473</v>
      </c>
      <c r="E13" s="433" t="s">
        <v>1003</v>
      </c>
      <c r="F13" s="220" t="s">
        <v>358</v>
      </c>
      <c r="G13" s="720" t="s">
        <v>385</v>
      </c>
      <c r="H13" s="445">
        <f aca="true" t="shared" si="0" ref="H13:H19">I13+J13</f>
        <v>500</v>
      </c>
      <c r="I13" s="374">
        <v>500</v>
      </c>
      <c r="J13" s="374"/>
      <c r="K13" s="374"/>
      <c r="L13" s="592"/>
      <c r="M13" s="565"/>
      <c r="N13" s="583"/>
      <c r="O13" s="573"/>
    </row>
    <row r="14" spans="1:18" s="474" customFormat="1" ht="66.75" customHeight="1">
      <c r="A14" s="136">
        <v>8600</v>
      </c>
      <c r="B14" s="928" t="s">
        <v>1006</v>
      </c>
      <c r="C14" s="928" t="s">
        <v>194</v>
      </c>
      <c r="D14" s="928" t="s">
        <v>474</v>
      </c>
      <c r="E14" s="920" t="s">
        <v>111</v>
      </c>
      <c r="F14" s="220" t="s">
        <v>356</v>
      </c>
      <c r="G14" s="720" t="s">
        <v>357</v>
      </c>
      <c r="H14" s="445">
        <f t="shared" si="0"/>
        <v>279664</v>
      </c>
      <c r="I14" s="445">
        <f>105000+15724+3000+50000+60000+45940</f>
        <v>279664</v>
      </c>
      <c r="J14" s="445"/>
      <c r="K14" s="445"/>
      <c r="L14" s="935">
        <f>'Дод.3'!H15</f>
        <v>700124</v>
      </c>
      <c r="M14" s="974">
        <f>L14-I14-I16-I15</f>
        <v>0</v>
      </c>
      <c r="N14" s="973">
        <f>'Дод.3'!M15</f>
        <v>20850</v>
      </c>
      <c r="O14" s="972">
        <f>N14-J14-J16</f>
        <v>0</v>
      </c>
      <c r="P14" s="381"/>
      <c r="Q14" s="382" t="e">
        <f>#REF!-'[1]дод.5'!$I$12</f>
        <v>#REF!</v>
      </c>
      <c r="R14" s="381"/>
    </row>
    <row r="15" spans="1:18" s="474" customFormat="1" ht="66.75" customHeight="1">
      <c r="A15" s="136"/>
      <c r="B15" s="929"/>
      <c r="C15" s="929"/>
      <c r="D15" s="929"/>
      <c r="E15" s="970"/>
      <c r="F15" s="220" t="s">
        <v>358</v>
      </c>
      <c r="G15" s="720" t="s">
        <v>385</v>
      </c>
      <c r="H15" s="445">
        <f t="shared" si="0"/>
        <v>2500</v>
      </c>
      <c r="I15" s="697">
        <f>2500</f>
        <v>2500</v>
      </c>
      <c r="J15" s="697"/>
      <c r="K15" s="697"/>
      <c r="L15" s="935"/>
      <c r="M15" s="974"/>
      <c r="N15" s="973"/>
      <c r="O15" s="972"/>
      <c r="P15" s="381"/>
      <c r="Q15" s="382"/>
      <c r="R15" s="381"/>
    </row>
    <row r="16" spans="1:18" s="474" customFormat="1" ht="76.5" customHeight="1">
      <c r="A16" s="136"/>
      <c r="B16" s="929"/>
      <c r="C16" s="944"/>
      <c r="D16" s="929"/>
      <c r="E16" s="970"/>
      <c r="F16" s="613" t="s">
        <v>359</v>
      </c>
      <c r="G16" s="721" t="s">
        <v>386</v>
      </c>
      <c r="H16" s="697">
        <f t="shared" si="0"/>
        <v>438810</v>
      </c>
      <c r="I16" s="697">
        <f>413726+4234</f>
        <v>417960</v>
      </c>
      <c r="J16" s="697">
        <v>20850</v>
      </c>
      <c r="K16" s="697"/>
      <c r="L16" s="935"/>
      <c r="M16" s="974"/>
      <c r="N16" s="973"/>
      <c r="O16" s="972"/>
      <c r="P16" s="381"/>
      <c r="Q16" s="382" t="e">
        <f>#REF!-'[1]дод.5'!$I$13</f>
        <v>#REF!</v>
      </c>
      <c r="R16" s="381"/>
    </row>
    <row r="17" spans="1:18" s="474" customFormat="1" ht="66.75" customHeight="1">
      <c r="A17" s="267"/>
      <c r="B17" s="919" t="s">
        <v>1010</v>
      </c>
      <c r="C17" s="919" t="s">
        <v>1011</v>
      </c>
      <c r="D17" s="919" t="s">
        <v>11</v>
      </c>
      <c r="E17" s="920" t="s">
        <v>1012</v>
      </c>
      <c r="F17" s="220" t="s">
        <v>358</v>
      </c>
      <c r="G17" s="720" t="s">
        <v>385</v>
      </c>
      <c r="H17" s="445">
        <f t="shared" si="0"/>
        <v>546134</v>
      </c>
      <c r="I17" s="445">
        <f>136300-2500+432334-20000</f>
        <v>546134</v>
      </c>
      <c r="J17" s="445"/>
      <c r="K17" s="445"/>
      <c r="L17" s="551"/>
      <c r="M17" s="549"/>
      <c r="N17" s="584"/>
      <c r="O17" s="484"/>
      <c r="P17" s="381"/>
      <c r="Q17" s="382"/>
      <c r="R17" s="381"/>
    </row>
    <row r="18" spans="2:18" s="474" customFormat="1" ht="65.25" customHeight="1">
      <c r="B18" s="919"/>
      <c r="C18" s="919"/>
      <c r="D18" s="919"/>
      <c r="E18" s="921"/>
      <c r="F18" s="220" t="s">
        <v>356</v>
      </c>
      <c r="G18" s="720" t="s">
        <v>357</v>
      </c>
      <c r="H18" s="445">
        <f t="shared" si="0"/>
        <v>50000</v>
      </c>
      <c r="I18" s="445">
        <v>50000</v>
      </c>
      <c r="J18" s="445"/>
      <c r="K18" s="445"/>
      <c r="L18" s="551">
        <f>'Дод.3'!H16</f>
        <v>596134</v>
      </c>
      <c r="M18" s="549">
        <f>L18-I18-I17</f>
        <v>0</v>
      </c>
      <c r="N18" s="584">
        <f>'Дод.3'!M16</f>
        <v>0</v>
      </c>
      <c r="O18" s="484">
        <f>N18-K18</f>
        <v>0</v>
      </c>
      <c r="P18" s="381"/>
      <c r="Q18" s="382" t="e">
        <f>#REF!-'[1]дод.5'!$I$16</f>
        <v>#REF!</v>
      </c>
      <c r="R18" s="381"/>
    </row>
    <row r="19" spans="2:18" s="474" customFormat="1" ht="65.25" customHeight="1">
      <c r="B19" s="454" t="s">
        <v>214</v>
      </c>
      <c r="C19" s="454" t="s">
        <v>215</v>
      </c>
      <c r="D19" s="454" t="s">
        <v>650</v>
      </c>
      <c r="E19" s="433" t="s">
        <v>216</v>
      </c>
      <c r="F19" s="220" t="s">
        <v>718</v>
      </c>
      <c r="G19" s="720" t="s">
        <v>639</v>
      </c>
      <c r="H19" s="445">
        <f t="shared" si="0"/>
        <v>304677</v>
      </c>
      <c r="I19" s="445"/>
      <c r="J19" s="445">
        <f>200000+104677</f>
        <v>304677</v>
      </c>
      <c r="K19" s="445">
        <f>200000+104677</f>
        <v>304677</v>
      </c>
      <c r="L19" s="584"/>
      <c r="M19" s="549"/>
      <c r="N19" s="584">
        <f>'Дод.3'!M17</f>
        <v>304677</v>
      </c>
      <c r="O19" s="484">
        <f>N19-J19</f>
        <v>0</v>
      </c>
      <c r="P19" s="381"/>
      <c r="Q19" s="382"/>
      <c r="R19" s="381"/>
    </row>
    <row r="20" spans="2:15" ht="57" customHeight="1">
      <c r="B20" s="453" t="s">
        <v>96</v>
      </c>
      <c r="C20" s="453"/>
      <c r="D20" s="453"/>
      <c r="E20" s="386" t="s">
        <v>918</v>
      </c>
      <c r="F20" s="304"/>
      <c r="G20" s="621"/>
      <c r="H20" s="447">
        <f>H21</f>
        <v>14424586</v>
      </c>
      <c r="I20" s="447">
        <f>I21</f>
        <v>6681118</v>
      </c>
      <c r="J20" s="447">
        <f>J21</f>
        <v>7743468</v>
      </c>
      <c r="K20" s="447">
        <f>K21</f>
        <v>7509968</v>
      </c>
      <c r="L20" s="592"/>
      <c r="M20" s="566"/>
      <c r="N20" s="583"/>
      <c r="O20" s="574"/>
    </row>
    <row r="21" spans="2:15" ht="49.5" customHeight="1">
      <c r="B21" s="453" t="s">
        <v>97</v>
      </c>
      <c r="C21" s="453"/>
      <c r="D21" s="453"/>
      <c r="E21" s="386" t="s">
        <v>918</v>
      </c>
      <c r="F21" s="531"/>
      <c r="G21" s="622"/>
      <c r="H21" s="532">
        <f>SUM(H22:H40)</f>
        <v>14424586</v>
      </c>
      <c r="I21" s="532">
        <f>SUM(I22:I40)</f>
        <v>6681118</v>
      </c>
      <c r="J21" s="532">
        <f>SUM(J22:J40)</f>
        <v>7743468</v>
      </c>
      <c r="K21" s="532">
        <f>SUM(K22:K40)</f>
        <v>7509968</v>
      </c>
      <c r="L21" s="592"/>
      <c r="M21" s="566"/>
      <c r="N21" s="583"/>
      <c r="O21" s="574"/>
    </row>
    <row r="22" spans="1:21" s="474" customFormat="1" ht="65.25" customHeight="1">
      <c r="A22" s="136">
        <v>8600</v>
      </c>
      <c r="B22" s="928" t="s">
        <v>110</v>
      </c>
      <c r="C22" s="928" t="s">
        <v>194</v>
      </c>
      <c r="D22" s="928" t="s">
        <v>474</v>
      </c>
      <c r="E22" s="920" t="s">
        <v>111</v>
      </c>
      <c r="F22" s="698" t="s">
        <v>356</v>
      </c>
      <c r="G22" s="722" t="s">
        <v>357</v>
      </c>
      <c r="H22" s="445">
        <f aca="true" t="shared" si="1" ref="H22:H39">I22+J22</f>
        <v>205000</v>
      </c>
      <c r="I22" s="445">
        <f>80000+25000+70000+30000</f>
        <v>205000</v>
      </c>
      <c r="J22" s="445"/>
      <c r="K22" s="445"/>
      <c r="L22" s="593">
        <f>'Дод.3'!H20</f>
        <v>235000</v>
      </c>
      <c r="M22" s="549">
        <f>L22-I22-I23</f>
        <v>0</v>
      </c>
      <c r="N22" s="585">
        <f>'Дод.3'!M20</f>
        <v>0</v>
      </c>
      <c r="O22" s="575">
        <f>N22-J22</f>
        <v>0</v>
      </c>
      <c r="P22" s="381"/>
      <c r="Q22" s="382" t="e">
        <f>#REF!-'[1]дод.5'!$I$20</f>
        <v>#REF!</v>
      </c>
      <c r="R22" s="381"/>
      <c r="U22" s="382"/>
    </row>
    <row r="23" spans="1:21" s="474" customFormat="1" ht="52.5" customHeight="1">
      <c r="A23" s="136"/>
      <c r="B23" s="930"/>
      <c r="C23" s="930"/>
      <c r="D23" s="930"/>
      <c r="E23" s="921"/>
      <c r="F23" s="698" t="s">
        <v>75</v>
      </c>
      <c r="G23" s="722" t="s">
        <v>78</v>
      </c>
      <c r="H23" s="445">
        <f t="shared" si="1"/>
        <v>30000</v>
      </c>
      <c r="I23" s="747">
        <v>30000</v>
      </c>
      <c r="J23" s="747"/>
      <c r="K23" s="747"/>
      <c r="L23" s="593"/>
      <c r="M23" s="549"/>
      <c r="N23" s="585"/>
      <c r="O23" s="575"/>
      <c r="P23" s="381"/>
      <c r="Q23" s="382"/>
      <c r="R23" s="381"/>
      <c r="U23" s="382"/>
    </row>
    <row r="24" spans="1:23" s="436" customFormat="1" ht="54.75" customHeight="1">
      <c r="A24" s="51"/>
      <c r="B24" s="922" t="s">
        <v>98</v>
      </c>
      <c r="C24" s="922">
        <v>2010</v>
      </c>
      <c r="D24" s="922" t="s">
        <v>840</v>
      </c>
      <c r="E24" s="925" t="s">
        <v>839</v>
      </c>
      <c r="F24" s="612" t="s">
        <v>417</v>
      </c>
      <c r="G24" s="720" t="s">
        <v>163</v>
      </c>
      <c r="H24" s="445">
        <f t="shared" si="1"/>
        <v>6995009</v>
      </c>
      <c r="I24" s="747">
        <f>937809+10147-400000+108840</f>
        <v>656796</v>
      </c>
      <c r="J24" s="747">
        <f>1000000+80000+3886000-80000+100000+35000+15000+100000+923273-121060+400000</f>
        <v>6338213</v>
      </c>
      <c r="K24" s="747">
        <f>4986000+35000+15000+100000+923273-121060+400000</f>
        <v>6338213</v>
      </c>
      <c r="L24" s="530">
        <f>'Дод.3'!H21</f>
        <v>45948552.54</v>
      </c>
      <c r="M24" s="549">
        <f>L24-U24-V24-I24-I25-I26</f>
        <v>-9.313225746154785E-10</v>
      </c>
      <c r="N24" s="530">
        <f>'Дод.3'!M21</f>
        <v>6448213</v>
      </c>
      <c r="O24" s="576">
        <f>N24-J24-J25-J26</f>
        <v>0</v>
      </c>
      <c r="P24" s="384"/>
      <c r="Q24" s="476" t="e">
        <f>#REF!-'[1]дод.5'!$I$22</f>
        <v>#REF!</v>
      </c>
      <c r="R24" s="384"/>
      <c r="S24" s="485">
        <f>25444100+69221+15991653</f>
        <v>41504974</v>
      </c>
      <c r="T24" s="485"/>
      <c r="U24" s="485">
        <f>41435753+2635310+69221</f>
        <v>44140284</v>
      </c>
      <c r="V24" s="485">
        <f>698626.77+493766.72-148000+28000+78693.7+385.35</f>
        <v>1151472.54</v>
      </c>
      <c r="W24" s="485"/>
    </row>
    <row r="25" spans="1:23" s="436" customFormat="1" ht="69.75" customHeight="1">
      <c r="A25" s="51"/>
      <c r="B25" s="923"/>
      <c r="C25" s="923"/>
      <c r="D25" s="923"/>
      <c r="E25" s="926"/>
      <c r="F25" s="220" t="s">
        <v>358</v>
      </c>
      <c r="G25" s="720" t="s">
        <v>385</v>
      </c>
      <c r="H25" s="445">
        <f t="shared" si="1"/>
        <v>10000</v>
      </c>
      <c r="I25" s="748"/>
      <c r="J25" s="748">
        <v>10000</v>
      </c>
      <c r="K25" s="748">
        <v>10000</v>
      </c>
      <c r="L25" s="530"/>
      <c r="M25" s="549"/>
      <c r="N25" s="530"/>
      <c r="O25" s="576"/>
      <c r="P25" s="384"/>
      <c r="Q25" s="476"/>
      <c r="R25" s="384"/>
      <c r="S25" s="485"/>
      <c r="T25" s="485"/>
      <c r="U25" s="485"/>
      <c r="V25" s="485"/>
      <c r="W25" s="485"/>
    </row>
    <row r="26" spans="1:23" s="436" customFormat="1" ht="69.75" customHeight="1">
      <c r="A26" s="51"/>
      <c r="B26" s="924"/>
      <c r="C26" s="924"/>
      <c r="D26" s="924"/>
      <c r="E26" s="927"/>
      <c r="F26" s="473" t="s">
        <v>628</v>
      </c>
      <c r="G26" s="723" t="s">
        <v>639</v>
      </c>
      <c r="H26" s="445">
        <f t="shared" si="1"/>
        <v>100000</v>
      </c>
      <c r="I26" s="748"/>
      <c r="J26" s="748">
        <v>100000</v>
      </c>
      <c r="K26" s="748">
        <v>100000</v>
      </c>
      <c r="L26" s="530"/>
      <c r="M26" s="549"/>
      <c r="N26" s="530"/>
      <c r="O26" s="576"/>
      <c r="P26" s="384"/>
      <c r="Q26" s="476"/>
      <c r="R26" s="384"/>
      <c r="S26" s="485"/>
      <c r="T26" s="485"/>
      <c r="U26" s="485"/>
      <c r="V26" s="485"/>
      <c r="W26" s="485"/>
    </row>
    <row r="27" spans="1:21" s="436" customFormat="1" ht="61.5" customHeight="1">
      <c r="A27" s="51"/>
      <c r="B27" s="455" t="s">
        <v>99</v>
      </c>
      <c r="C27" s="455" t="s">
        <v>1007</v>
      </c>
      <c r="D27" s="455" t="s">
        <v>844</v>
      </c>
      <c r="E27" s="437" t="s">
        <v>1008</v>
      </c>
      <c r="F27" s="473" t="s">
        <v>628</v>
      </c>
      <c r="G27" s="723" t="s">
        <v>639</v>
      </c>
      <c r="H27" s="699">
        <f t="shared" si="1"/>
        <v>140804</v>
      </c>
      <c r="I27" s="748">
        <f>101579+24225+15000</f>
        <v>140804</v>
      </c>
      <c r="J27" s="748"/>
      <c r="K27" s="748"/>
      <c r="L27" s="594"/>
      <c r="M27" s="549"/>
      <c r="N27" s="530"/>
      <c r="O27" s="576"/>
      <c r="P27" s="384"/>
      <c r="Q27" s="476" t="e">
        <f>#REF!-'[1]дод.5'!$I$23</f>
        <v>#REF!</v>
      </c>
      <c r="R27" s="384"/>
      <c r="U27" s="485">
        <f>41435753+2635310+69221</f>
        <v>44140284</v>
      </c>
    </row>
    <row r="28" spans="1:22" s="436" customFormat="1" ht="76.5" customHeight="1">
      <c r="A28" s="391"/>
      <c r="B28" s="655" t="s">
        <v>179</v>
      </c>
      <c r="C28" s="655" t="s">
        <v>1009</v>
      </c>
      <c r="D28" s="655" t="s">
        <v>845</v>
      </c>
      <c r="E28" s="656" t="s">
        <v>95</v>
      </c>
      <c r="F28" s="700" t="s">
        <v>720</v>
      </c>
      <c r="G28" s="724" t="s">
        <v>162</v>
      </c>
      <c r="H28" s="445">
        <f>I28+J28</f>
        <v>1537370</v>
      </c>
      <c r="I28" s="747">
        <f>734775+96727+103000+10000+18573+50360+164624+248416</f>
        <v>1426475</v>
      </c>
      <c r="J28" s="747">
        <f>8700+12000+30000+22195+38000</f>
        <v>110895</v>
      </c>
      <c r="K28" s="747">
        <f>8700+12000+30000+22195+38000</f>
        <v>110895</v>
      </c>
      <c r="L28" s="534">
        <f>'Дод.3'!H23</f>
        <v>2793840.9</v>
      </c>
      <c r="M28" s="549">
        <f>L28-U28-V28-I28</f>
        <v>0</v>
      </c>
      <c r="N28" s="535">
        <f>'Дод.3'!M23</f>
        <v>110895</v>
      </c>
      <c r="O28" s="533">
        <f>N28-J28</f>
        <v>0</v>
      </c>
      <c r="P28" s="384"/>
      <c r="Q28" s="384"/>
      <c r="R28" s="384"/>
      <c r="T28" s="547"/>
      <c r="U28" s="485">
        <f>789553+144667+99187+100300</f>
        <v>1133707</v>
      </c>
      <c r="V28" s="485">
        <f>44256.82+189402.08</f>
        <v>233658.9</v>
      </c>
    </row>
    <row r="29" spans="2:15" ht="75" customHeight="1" hidden="1">
      <c r="B29" s="455" t="s">
        <v>103</v>
      </c>
      <c r="C29" s="455" t="s">
        <v>105</v>
      </c>
      <c r="D29" s="455">
        <v>1040</v>
      </c>
      <c r="E29" s="657" t="s">
        <v>104</v>
      </c>
      <c r="F29" s="220" t="s">
        <v>363</v>
      </c>
      <c r="G29" s="720" t="s">
        <v>392</v>
      </c>
      <c r="H29" s="445">
        <f>I29+J29</f>
        <v>0</v>
      </c>
      <c r="I29" s="747"/>
      <c r="J29" s="747"/>
      <c r="K29" s="747"/>
      <c r="L29" s="595">
        <f>'Дод.3'!H28</f>
        <v>916317</v>
      </c>
      <c r="M29" s="549"/>
      <c r="N29" s="586">
        <f>'Дод.3'!M28</f>
        <v>0</v>
      </c>
      <c r="O29" s="577"/>
    </row>
    <row r="30" spans="2:15" ht="54" customHeight="1">
      <c r="B30" s="455" t="s">
        <v>418</v>
      </c>
      <c r="C30" s="455" t="s">
        <v>419</v>
      </c>
      <c r="D30" s="455" t="s">
        <v>921</v>
      </c>
      <c r="E30" s="437" t="s">
        <v>420</v>
      </c>
      <c r="F30" s="700" t="s">
        <v>390</v>
      </c>
      <c r="G30" s="724" t="s">
        <v>391</v>
      </c>
      <c r="H30" s="445">
        <f>I30+J30</f>
        <v>219380</v>
      </c>
      <c r="I30" s="747">
        <f>37350+80000+14221+21159+11273+5377+50000</f>
        <v>219380</v>
      </c>
      <c r="J30" s="747"/>
      <c r="K30" s="747"/>
      <c r="L30" s="595">
        <f>'Дод.3'!H24</f>
        <v>219380</v>
      </c>
      <c r="M30" s="549">
        <f>L30-I30</f>
        <v>0</v>
      </c>
      <c r="N30" s="586"/>
      <c r="O30" s="577"/>
    </row>
    <row r="31" spans="2:15" ht="54" customHeight="1">
      <c r="B31" s="455" t="s">
        <v>100</v>
      </c>
      <c r="C31" s="455" t="s">
        <v>101</v>
      </c>
      <c r="D31" s="455" t="s">
        <v>921</v>
      </c>
      <c r="E31" s="544" t="s">
        <v>102</v>
      </c>
      <c r="F31" s="612" t="s">
        <v>417</v>
      </c>
      <c r="G31" s="720" t="s">
        <v>163</v>
      </c>
      <c r="H31" s="445">
        <f>I31+J31</f>
        <v>30000</v>
      </c>
      <c r="I31" s="747">
        <v>30000</v>
      </c>
      <c r="J31" s="747"/>
      <c r="K31" s="747"/>
      <c r="L31" s="595"/>
      <c r="M31" s="549"/>
      <c r="N31" s="586"/>
      <c r="O31" s="577"/>
    </row>
    <row r="32" spans="2:15" ht="104.25" customHeight="1">
      <c r="B32" s="455" t="s">
        <v>421</v>
      </c>
      <c r="C32" s="455" t="s">
        <v>422</v>
      </c>
      <c r="D32" s="455" t="s">
        <v>921</v>
      </c>
      <c r="E32" s="659" t="s">
        <v>423</v>
      </c>
      <c r="F32" s="220" t="s">
        <v>361</v>
      </c>
      <c r="G32" s="720" t="s">
        <v>388</v>
      </c>
      <c r="H32" s="445">
        <f>I32+J32</f>
        <v>1352313</v>
      </c>
      <c r="I32" s="445">
        <f>996880+198000+1800+10800+29873+255000-11160-20040-108840</f>
        <v>1352313</v>
      </c>
      <c r="J32" s="445"/>
      <c r="K32" s="445"/>
      <c r="L32" s="595">
        <f>'Дод.3'!H27</f>
        <v>1352313</v>
      </c>
      <c r="M32" s="549">
        <f>L32-I32</f>
        <v>0</v>
      </c>
      <c r="N32" s="586"/>
      <c r="O32" s="577"/>
    </row>
    <row r="33" spans="1:18" s="474" customFormat="1" ht="78" customHeight="1">
      <c r="A33" s="475"/>
      <c r="B33" s="928" t="s">
        <v>1013</v>
      </c>
      <c r="C33" s="928" t="s">
        <v>1011</v>
      </c>
      <c r="D33" s="928" t="s">
        <v>11</v>
      </c>
      <c r="E33" s="936" t="s">
        <v>1012</v>
      </c>
      <c r="F33" s="220" t="s">
        <v>356</v>
      </c>
      <c r="G33" s="720" t="s">
        <v>357</v>
      </c>
      <c r="H33" s="445">
        <f t="shared" si="1"/>
        <v>86670</v>
      </c>
      <c r="I33" s="445">
        <f>74670+3000+6000+3000</f>
        <v>86670</v>
      </c>
      <c r="J33" s="445"/>
      <c r="K33" s="445"/>
      <c r="L33" s="935">
        <f>'Дод.3'!H29</f>
        <v>147670</v>
      </c>
      <c r="M33" s="974">
        <f>L33-I33-I34</f>
        <v>0</v>
      </c>
      <c r="N33" s="973">
        <f>'Дод.3'!M29</f>
        <v>0</v>
      </c>
      <c r="O33" s="484">
        <f aca="true" t="shared" si="2" ref="O33:O40">N33-J33</f>
        <v>0</v>
      </c>
      <c r="P33" s="381"/>
      <c r="Q33" s="382" t="e">
        <f>#REF!-'[1]дод.5'!$I$30</f>
        <v>#REF!</v>
      </c>
      <c r="R33" s="381"/>
    </row>
    <row r="34" spans="2:18" s="474" customFormat="1" ht="54" customHeight="1">
      <c r="B34" s="930"/>
      <c r="C34" s="933"/>
      <c r="D34" s="930"/>
      <c r="E34" s="938"/>
      <c r="F34" s="220" t="s">
        <v>443</v>
      </c>
      <c r="G34" s="720" t="s">
        <v>444</v>
      </c>
      <c r="H34" s="445">
        <f t="shared" si="1"/>
        <v>61000</v>
      </c>
      <c r="I34" s="445">
        <v>61000</v>
      </c>
      <c r="J34" s="445"/>
      <c r="K34" s="445"/>
      <c r="L34" s="935"/>
      <c r="M34" s="974"/>
      <c r="N34" s="973"/>
      <c r="O34" s="484">
        <f t="shared" si="2"/>
        <v>0</v>
      </c>
      <c r="P34" s="381"/>
      <c r="Q34" s="382" t="e">
        <f>#REF!-'[1]дод.5'!$G$31</f>
        <v>#REF!</v>
      </c>
      <c r="R34" s="381"/>
    </row>
    <row r="35" spans="1:18" s="474" customFormat="1" ht="66" customHeight="1">
      <c r="A35" s="147" t="s">
        <v>882</v>
      </c>
      <c r="B35" s="466" t="s">
        <v>107</v>
      </c>
      <c r="C35" s="466" t="s">
        <v>882</v>
      </c>
      <c r="D35" s="466" t="s">
        <v>889</v>
      </c>
      <c r="E35" s="467" t="s">
        <v>106</v>
      </c>
      <c r="F35" s="220" t="s">
        <v>360</v>
      </c>
      <c r="G35" s="720" t="s">
        <v>387</v>
      </c>
      <c r="H35" s="445">
        <f t="shared" si="1"/>
        <v>1532128</v>
      </c>
      <c r="I35" s="747">
        <f>1232128+5000+55000</f>
        <v>1292128</v>
      </c>
      <c r="J35" s="747">
        <v>240000</v>
      </c>
      <c r="K35" s="747">
        <v>240000</v>
      </c>
      <c r="L35" s="595">
        <f>'Дод.3'!H30</f>
        <v>1292128</v>
      </c>
      <c r="M35" s="549">
        <f>L35-I35</f>
        <v>0</v>
      </c>
      <c r="N35" s="584">
        <f>'Дод.3'!M30</f>
        <v>240000</v>
      </c>
      <c r="O35" s="484">
        <f t="shared" si="2"/>
        <v>0</v>
      </c>
      <c r="P35" s="381"/>
      <c r="Q35" s="381"/>
      <c r="R35" s="381"/>
    </row>
    <row r="36" spans="1:18" s="474" customFormat="1" ht="72" customHeight="1">
      <c r="A36" s="147" t="s">
        <v>883</v>
      </c>
      <c r="B36" s="454" t="s">
        <v>108</v>
      </c>
      <c r="C36" s="454" t="s">
        <v>883</v>
      </c>
      <c r="D36" s="454" t="s">
        <v>889</v>
      </c>
      <c r="E36" s="431" t="s">
        <v>891</v>
      </c>
      <c r="F36" s="220" t="s">
        <v>360</v>
      </c>
      <c r="G36" s="720" t="s">
        <v>393</v>
      </c>
      <c r="H36" s="445">
        <f t="shared" si="1"/>
        <v>865004</v>
      </c>
      <c r="I36" s="747">
        <f>762061+47943+20000+15000+20000</f>
        <v>865004</v>
      </c>
      <c r="J36" s="747"/>
      <c r="K36" s="747"/>
      <c r="L36" s="595">
        <f>'Дод.3'!H31</f>
        <v>865004</v>
      </c>
      <c r="M36" s="549">
        <f>L36-I36</f>
        <v>0</v>
      </c>
      <c r="N36" s="584">
        <f>'Дод.3'!M31</f>
        <v>0</v>
      </c>
      <c r="O36" s="484">
        <f t="shared" si="2"/>
        <v>0</v>
      </c>
      <c r="P36" s="381"/>
      <c r="Q36" s="381"/>
      <c r="R36" s="381"/>
    </row>
    <row r="37" spans="1:18" s="474" customFormat="1" ht="82.5" customHeight="1">
      <c r="A37" s="147" t="s">
        <v>1001</v>
      </c>
      <c r="B37" s="454" t="s">
        <v>109</v>
      </c>
      <c r="C37" s="454" t="s">
        <v>1001</v>
      </c>
      <c r="D37" s="454" t="s">
        <v>889</v>
      </c>
      <c r="E37" s="431" t="s">
        <v>1000</v>
      </c>
      <c r="F37" s="220" t="s">
        <v>360</v>
      </c>
      <c r="G37" s="720" t="s">
        <v>393</v>
      </c>
      <c r="H37" s="445">
        <f t="shared" si="1"/>
        <v>315548</v>
      </c>
      <c r="I37" s="747">
        <f>310291-14743+20000</f>
        <v>315548</v>
      </c>
      <c r="J37" s="747"/>
      <c r="K37" s="747"/>
      <c r="L37" s="595">
        <f>'Дод.3'!H32</f>
        <v>315548</v>
      </c>
      <c r="M37" s="549">
        <f>L37-I37</f>
        <v>0</v>
      </c>
      <c r="N37" s="584">
        <f>'Дод.3'!M32</f>
        <v>0</v>
      </c>
      <c r="O37" s="484">
        <f t="shared" si="2"/>
        <v>0</v>
      </c>
      <c r="P37" s="381"/>
      <c r="Q37" s="381"/>
      <c r="R37" s="381"/>
    </row>
    <row r="38" spans="1:18" s="474" customFormat="1" ht="54.75" customHeight="1">
      <c r="A38" s="294"/>
      <c r="B38" s="455" t="s">
        <v>961</v>
      </c>
      <c r="C38" s="455" t="s">
        <v>962</v>
      </c>
      <c r="D38" s="455" t="s">
        <v>650</v>
      </c>
      <c r="E38" s="703" t="s">
        <v>963</v>
      </c>
      <c r="F38" s="612" t="s">
        <v>417</v>
      </c>
      <c r="G38" s="720" t="s">
        <v>163</v>
      </c>
      <c r="H38" s="445">
        <f t="shared" si="1"/>
        <v>611060</v>
      </c>
      <c r="I38" s="747"/>
      <c r="J38" s="747">
        <f>121060+240000+250000</f>
        <v>611060</v>
      </c>
      <c r="K38" s="747">
        <f>121060+240000+250000</f>
        <v>611060</v>
      </c>
      <c r="L38" s="595">
        <f>'Дод.3'!H33</f>
        <v>0</v>
      </c>
      <c r="M38" s="549">
        <f>'Дод.3'!I33</f>
        <v>0</v>
      </c>
      <c r="N38" s="584">
        <f>'Дод.3'!M33</f>
        <v>611060</v>
      </c>
      <c r="O38" s="484">
        <f>N38-J38</f>
        <v>0</v>
      </c>
      <c r="P38" s="381"/>
      <c r="Q38" s="381"/>
      <c r="R38" s="381"/>
    </row>
    <row r="39" spans="1:18" s="474" customFormat="1" ht="60" customHeight="1">
      <c r="A39" s="294"/>
      <c r="B39" s="455" t="s">
        <v>620</v>
      </c>
      <c r="C39" s="455" t="s">
        <v>621</v>
      </c>
      <c r="D39" s="455" t="s">
        <v>663</v>
      </c>
      <c r="E39" s="437" t="s">
        <v>622</v>
      </c>
      <c r="F39" s="612" t="s">
        <v>417</v>
      </c>
      <c r="G39" s="725" t="s">
        <v>163</v>
      </c>
      <c r="H39" s="445">
        <f t="shared" si="1"/>
        <v>99800</v>
      </c>
      <c r="I39" s="747"/>
      <c r="J39" s="747">
        <v>99800</v>
      </c>
      <c r="K39" s="747">
        <v>99800</v>
      </c>
      <c r="L39" s="595"/>
      <c r="M39" s="549"/>
      <c r="N39" s="584">
        <f>'Дод.3'!M34</f>
        <v>99800</v>
      </c>
      <c r="O39" s="484">
        <f>N39-J39</f>
        <v>0</v>
      </c>
      <c r="P39" s="381"/>
      <c r="Q39" s="381"/>
      <c r="R39" s="381"/>
    </row>
    <row r="40" spans="1:18" s="474" customFormat="1" ht="104.25" customHeight="1">
      <c r="A40" s="294"/>
      <c r="B40" s="455" t="s">
        <v>793</v>
      </c>
      <c r="C40" s="454" t="s">
        <v>794</v>
      </c>
      <c r="D40" s="454" t="s">
        <v>884</v>
      </c>
      <c r="E40" s="727" t="s">
        <v>619</v>
      </c>
      <c r="F40" s="220" t="s">
        <v>364</v>
      </c>
      <c r="G40" s="720" t="s">
        <v>394</v>
      </c>
      <c r="H40" s="445">
        <f>I40+J40</f>
        <v>233500</v>
      </c>
      <c r="I40" s="445"/>
      <c r="J40" s="445">
        <v>233500</v>
      </c>
      <c r="K40" s="445"/>
      <c r="L40" s="595">
        <f>'Дод.3'!H35</f>
        <v>0</v>
      </c>
      <c r="M40" s="549">
        <f>L40-I40</f>
        <v>0</v>
      </c>
      <c r="N40" s="584">
        <f>'Дод.3'!M35</f>
        <v>233500</v>
      </c>
      <c r="O40" s="484">
        <f t="shared" si="2"/>
        <v>0</v>
      </c>
      <c r="P40" s="381"/>
      <c r="Q40" s="381"/>
      <c r="R40" s="381"/>
    </row>
    <row r="41" spans="2:15" ht="60" customHeight="1">
      <c r="B41" s="453" t="s">
        <v>604</v>
      </c>
      <c r="C41" s="456"/>
      <c r="D41" s="456"/>
      <c r="E41" s="728" t="s">
        <v>528</v>
      </c>
      <c r="F41" s="304"/>
      <c r="G41" s="621"/>
      <c r="H41" s="447">
        <f>H42</f>
        <v>4488196</v>
      </c>
      <c r="I41" s="447">
        <f>I42</f>
        <v>4478196</v>
      </c>
      <c r="J41" s="447">
        <f>J42</f>
        <v>10000</v>
      </c>
      <c r="K41" s="447">
        <f>K42</f>
        <v>10000</v>
      </c>
      <c r="L41" s="596"/>
      <c r="M41" s="566"/>
      <c r="N41" s="587"/>
      <c r="O41" s="578"/>
    </row>
    <row r="42" spans="2:15" ht="65.25" customHeight="1">
      <c r="B42" s="453" t="s">
        <v>605</v>
      </c>
      <c r="C42" s="453"/>
      <c r="D42" s="453"/>
      <c r="E42" s="728" t="s">
        <v>528</v>
      </c>
      <c r="F42" s="304"/>
      <c r="G42" s="621"/>
      <c r="H42" s="447">
        <f>SUM(H43:H51)</f>
        <v>4488196</v>
      </c>
      <c r="I42" s="447">
        <f>SUM(I43:I51)</f>
        <v>4478196</v>
      </c>
      <c r="J42" s="447">
        <f>SUM(J43:J51)</f>
        <v>10000</v>
      </c>
      <c r="K42" s="447">
        <f>SUM(K43:K51)</f>
        <v>10000</v>
      </c>
      <c r="L42" s="596"/>
      <c r="M42" s="566"/>
      <c r="N42" s="587"/>
      <c r="O42" s="578"/>
    </row>
    <row r="43" spans="1:15" ht="75.75" customHeight="1">
      <c r="A43" s="51">
        <v>1020</v>
      </c>
      <c r="B43" s="928" t="s">
        <v>603</v>
      </c>
      <c r="C43" s="928">
        <v>1020</v>
      </c>
      <c r="D43" s="928" t="s">
        <v>205</v>
      </c>
      <c r="E43" s="936" t="s">
        <v>602</v>
      </c>
      <c r="F43" s="220" t="s">
        <v>719</v>
      </c>
      <c r="G43" s="720" t="s">
        <v>159</v>
      </c>
      <c r="H43" s="445">
        <f aca="true" t="shared" si="3" ref="H43:H50">I43+J43</f>
        <v>3126016</v>
      </c>
      <c r="I43" s="445">
        <f>2200000+926516-500</f>
        <v>3126016</v>
      </c>
      <c r="J43" s="445"/>
      <c r="K43" s="445"/>
      <c r="L43" s="935">
        <f>'Дод.3'!H38</f>
        <v>115967631.53</v>
      </c>
      <c r="M43" s="549"/>
      <c r="N43" s="584"/>
      <c r="O43" s="484"/>
    </row>
    <row r="44" spans="1:15" ht="58.5" customHeight="1">
      <c r="A44" s="51"/>
      <c r="B44" s="929"/>
      <c r="C44" s="931"/>
      <c r="D44" s="929"/>
      <c r="E44" s="937"/>
      <c r="F44" s="220" t="s">
        <v>358</v>
      </c>
      <c r="G44" s="720" t="s">
        <v>385</v>
      </c>
      <c r="H44" s="445">
        <f t="shared" si="3"/>
        <v>10000</v>
      </c>
      <c r="I44" s="445"/>
      <c r="J44" s="445">
        <v>10000</v>
      </c>
      <c r="K44" s="445">
        <v>10000</v>
      </c>
      <c r="L44" s="935"/>
      <c r="M44" s="549"/>
      <c r="N44" s="584"/>
      <c r="O44" s="484"/>
    </row>
    <row r="45" spans="1:15" ht="61.5" customHeight="1">
      <c r="A45" s="51"/>
      <c r="B45" s="929"/>
      <c r="C45" s="931"/>
      <c r="D45" s="929"/>
      <c r="E45" s="937"/>
      <c r="F45" s="220" t="s">
        <v>365</v>
      </c>
      <c r="G45" s="720" t="s">
        <v>775</v>
      </c>
      <c r="H45" s="445">
        <f t="shared" si="3"/>
        <v>31000</v>
      </c>
      <c r="I45" s="747">
        <f>4000+27000+2520-2520</f>
        <v>31000</v>
      </c>
      <c r="J45" s="445"/>
      <c r="K45" s="445"/>
      <c r="L45" s="935"/>
      <c r="M45" s="549"/>
      <c r="N45" s="584">
        <f>'Дод.3'!M38</f>
        <v>2567202</v>
      </c>
      <c r="O45" s="484"/>
    </row>
    <row r="46" spans="1:15" ht="60.75" customHeight="1">
      <c r="A46" s="51"/>
      <c r="B46" s="929"/>
      <c r="C46" s="931"/>
      <c r="D46" s="929"/>
      <c r="E46" s="937"/>
      <c r="F46" s="220" t="s">
        <v>366</v>
      </c>
      <c r="G46" s="720" t="s">
        <v>396</v>
      </c>
      <c r="H46" s="445">
        <f t="shared" si="3"/>
        <v>407200</v>
      </c>
      <c r="I46" s="445">
        <f>500000-92800</f>
        <v>407200</v>
      </c>
      <c r="J46" s="445"/>
      <c r="K46" s="445"/>
      <c r="L46" s="935"/>
      <c r="M46" s="549"/>
      <c r="N46" s="584"/>
      <c r="O46" s="484"/>
    </row>
    <row r="47" spans="1:15" ht="66" customHeight="1" hidden="1">
      <c r="A47" s="51"/>
      <c r="B47" s="930"/>
      <c r="C47" s="932"/>
      <c r="D47" s="930"/>
      <c r="E47" s="938"/>
      <c r="F47" s="220" t="s">
        <v>362</v>
      </c>
      <c r="G47" s="720" t="s">
        <v>389</v>
      </c>
      <c r="H47" s="445">
        <f t="shared" si="3"/>
        <v>0</v>
      </c>
      <c r="I47" s="445"/>
      <c r="J47" s="445"/>
      <c r="K47" s="445"/>
      <c r="L47" s="935"/>
      <c r="M47" s="549"/>
      <c r="N47" s="584"/>
      <c r="O47" s="484"/>
    </row>
    <row r="48" spans="1:15" ht="54.75" customHeight="1" hidden="1">
      <c r="A48" s="51"/>
      <c r="B48" s="454" t="s">
        <v>180</v>
      </c>
      <c r="C48" s="454" t="s">
        <v>11</v>
      </c>
      <c r="D48" s="454" t="s">
        <v>1030</v>
      </c>
      <c r="E48" s="433" t="s">
        <v>1029</v>
      </c>
      <c r="F48" s="220" t="s">
        <v>365</v>
      </c>
      <c r="G48" s="720" t="s">
        <v>395</v>
      </c>
      <c r="H48" s="445">
        <f t="shared" si="3"/>
        <v>0</v>
      </c>
      <c r="I48" s="445"/>
      <c r="J48" s="445"/>
      <c r="K48" s="445"/>
      <c r="L48" s="551">
        <f>'Дод.3'!H39</f>
        <v>1937823</v>
      </c>
      <c r="M48" s="549"/>
      <c r="N48" s="584">
        <f>'Дод.3'!M39</f>
        <v>0</v>
      </c>
      <c r="O48" s="484"/>
    </row>
    <row r="49" spans="1:15" ht="61.5" customHeight="1" hidden="1">
      <c r="A49" s="51"/>
      <c r="B49" s="454" t="s">
        <v>1014</v>
      </c>
      <c r="C49" s="454" t="s">
        <v>1015</v>
      </c>
      <c r="D49" s="454" t="s">
        <v>1032</v>
      </c>
      <c r="E49" s="433" t="s">
        <v>1018</v>
      </c>
      <c r="F49" s="220" t="s">
        <v>529</v>
      </c>
      <c r="G49" s="720" t="s">
        <v>530</v>
      </c>
      <c r="H49" s="445">
        <f t="shared" si="3"/>
        <v>0</v>
      </c>
      <c r="I49" s="445"/>
      <c r="J49" s="445"/>
      <c r="K49" s="445"/>
      <c r="L49" s="551">
        <f>'Дод.3'!H41</f>
        <v>3929101</v>
      </c>
      <c r="M49" s="549"/>
      <c r="N49" s="584">
        <f>'Дод.3'!M41</f>
        <v>0</v>
      </c>
      <c r="O49" s="484"/>
    </row>
    <row r="50" spans="1:18" s="474" customFormat="1" ht="60" customHeight="1">
      <c r="A50" s="51"/>
      <c r="B50" s="454" t="s">
        <v>1016</v>
      </c>
      <c r="C50" s="454" t="s">
        <v>1017</v>
      </c>
      <c r="D50" s="454" t="s">
        <v>1032</v>
      </c>
      <c r="E50" s="433" t="s">
        <v>1019</v>
      </c>
      <c r="F50" s="220" t="s">
        <v>718</v>
      </c>
      <c r="G50" s="720" t="s">
        <v>639</v>
      </c>
      <c r="H50" s="445">
        <f t="shared" si="3"/>
        <v>516200</v>
      </c>
      <c r="I50" s="445">
        <v>516200</v>
      </c>
      <c r="J50" s="445"/>
      <c r="K50" s="445"/>
      <c r="L50" s="551">
        <f>'Дод.3'!H42</f>
        <v>516200</v>
      </c>
      <c r="M50" s="549">
        <f>L50-I50</f>
        <v>0</v>
      </c>
      <c r="N50" s="584">
        <f>'Дод.3'!M42</f>
        <v>0</v>
      </c>
      <c r="O50" s="484">
        <f>N50-J50</f>
        <v>0</v>
      </c>
      <c r="P50" s="381"/>
      <c r="Q50" s="381"/>
      <c r="R50" s="381"/>
    </row>
    <row r="51" spans="1:18" s="474" customFormat="1" ht="67.5" customHeight="1">
      <c r="A51" s="272"/>
      <c r="B51" s="454" t="s">
        <v>1022</v>
      </c>
      <c r="C51" s="458">
        <v>5011</v>
      </c>
      <c r="D51" s="454" t="s">
        <v>889</v>
      </c>
      <c r="E51" s="431" t="s">
        <v>888</v>
      </c>
      <c r="F51" s="220" t="s">
        <v>360</v>
      </c>
      <c r="G51" s="720" t="s">
        <v>393</v>
      </c>
      <c r="H51" s="445">
        <f>I51+J51</f>
        <v>397780</v>
      </c>
      <c r="I51" s="445">
        <f>317780+80000</f>
        <v>397780</v>
      </c>
      <c r="J51" s="445"/>
      <c r="K51" s="445"/>
      <c r="L51" s="551">
        <f>'Дод.3'!H44</f>
        <v>397780</v>
      </c>
      <c r="M51" s="549">
        <f>L51-I51</f>
        <v>0</v>
      </c>
      <c r="N51" s="584">
        <f>'Дод.3'!M44</f>
        <v>0</v>
      </c>
      <c r="O51" s="484">
        <f>N51-J51</f>
        <v>0</v>
      </c>
      <c r="P51" s="381"/>
      <c r="Q51" s="381"/>
      <c r="R51" s="381"/>
    </row>
    <row r="52" spans="2:18" s="474" customFormat="1" ht="66" customHeight="1">
      <c r="B52" s="453" t="s">
        <v>611</v>
      </c>
      <c r="C52" s="456"/>
      <c r="D52" s="456"/>
      <c r="E52" s="386" t="s">
        <v>612</v>
      </c>
      <c r="F52" s="304"/>
      <c r="G52" s="621"/>
      <c r="H52" s="447">
        <f>H53</f>
        <v>2387687</v>
      </c>
      <c r="I52" s="447">
        <f>I53</f>
        <v>2387687</v>
      </c>
      <c r="J52" s="447">
        <f>J53</f>
        <v>0</v>
      </c>
      <c r="K52" s="447">
        <f>K53</f>
        <v>0</v>
      </c>
      <c r="L52" s="597"/>
      <c r="M52" s="566"/>
      <c r="N52" s="587"/>
      <c r="O52" s="578"/>
      <c r="P52" s="381"/>
      <c r="Q52" s="381"/>
      <c r="R52" s="381"/>
    </row>
    <row r="53" spans="2:18" s="474" customFormat="1" ht="66.75" customHeight="1">
      <c r="B53" s="453" t="s">
        <v>610</v>
      </c>
      <c r="C53" s="453"/>
      <c r="D53" s="453"/>
      <c r="E53" s="386" t="s">
        <v>612</v>
      </c>
      <c r="F53" s="304"/>
      <c r="G53" s="621"/>
      <c r="H53" s="447">
        <f>SUM(H54:H61)</f>
        <v>2387687</v>
      </c>
      <c r="I53" s="447">
        <f>SUM(I54:I61)</f>
        <v>2387687</v>
      </c>
      <c r="J53" s="447">
        <f>SUM(J54:J57)</f>
        <v>0</v>
      </c>
      <c r="K53" s="447">
        <f>SUM(K54:K57)</f>
        <v>0</v>
      </c>
      <c r="L53" s="595"/>
      <c r="M53" s="549"/>
      <c r="N53" s="584"/>
      <c r="O53" s="484"/>
      <c r="P53" s="381"/>
      <c r="Q53" s="381"/>
      <c r="R53" s="381"/>
    </row>
    <row r="54" spans="1:18" s="474" customFormat="1" ht="67.5" customHeight="1">
      <c r="A54" s="274" t="s">
        <v>645</v>
      </c>
      <c r="B54" s="454" t="s">
        <v>40</v>
      </c>
      <c r="C54" s="454" t="s">
        <v>991</v>
      </c>
      <c r="D54" s="454" t="s">
        <v>14</v>
      </c>
      <c r="E54" s="431" t="s">
        <v>39</v>
      </c>
      <c r="F54" s="220" t="s">
        <v>717</v>
      </c>
      <c r="G54" s="720" t="s">
        <v>640</v>
      </c>
      <c r="H54" s="747">
        <f aca="true" t="shared" si="4" ref="H54:H61">I54+J54</f>
        <v>106729</v>
      </c>
      <c r="I54" s="747">
        <f>106314+415</f>
        <v>106729</v>
      </c>
      <c r="J54" s="747"/>
      <c r="K54" s="445"/>
      <c r="L54" s="595">
        <f>'Дод.3'!H53</f>
        <v>106729</v>
      </c>
      <c r="M54" s="549">
        <f>L54-I54</f>
        <v>0</v>
      </c>
      <c r="N54" s="584">
        <f>'Дод.3'!M53</f>
        <v>0</v>
      </c>
      <c r="O54" s="484">
        <f>N54-J54</f>
        <v>0</v>
      </c>
      <c r="P54" s="381"/>
      <c r="Q54" s="381"/>
      <c r="R54" s="381"/>
    </row>
    <row r="55" spans="1:18" s="474" customFormat="1" ht="70.5" customHeight="1">
      <c r="A55" s="149" t="s">
        <v>796</v>
      </c>
      <c r="B55" s="454" t="s">
        <v>42</v>
      </c>
      <c r="C55" s="454" t="s">
        <v>41</v>
      </c>
      <c r="D55" s="454" t="s">
        <v>912</v>
      </c>
      <c r="E55" s="431" t="s">
        <v>797</v>
      </c>
      <c r="F55" s="220" t="s">
        <v>717</v>
      </c>
      <c r="G55" s="720" t="s">
        <v>640</v>
      </c>
      <c r="H55" s="445">
        <f t="shared" si="4"/>
        <v>380360</v>
      </c>
      <c r="I55" s="445">
        <f>275360+105000</f>
        <v>380360</v>
      </c>
      <c r="J55" s="445"/>
      <c r="K55" s="445"/>
      <c r="L55" s="595">
        <f>'Дод.3'!H54</f>
        <v>380360</v>
      </c>
      <c r="M55" s="549">
        <f aca="true" t="shared" si="5" ref="M55:M61">L55-I55</f>
        <v>0</v>
      </c>
      <c r="N55" s="584">
        <f>'Дод.3'!M54</f>
        <v>0</v>
      </c>
      <c r="O55" s="484">
        <f aca="true" t="shared" si="6" ref="O55:O61">N55-J55</f>
        <v>0</v>
      </c>
      <c r="P55" s="381"/>
      <c r="Q55" s="381"/>
      <c r="R55" s="381"/>
    </row>
    <row r="56" spans="1:18" s="474" customFormat="1" ht="70.5" customHeight="1">
      <c r="A56" s="149"/>
      <c r="B56" s="455" t="s">
        <v>119</v>
      </c>
      <c r="C56" s="455" t="s">
        <v>120</v>
      </c>
      <c r="D56" s="455" t="s">
        <v>912</v>
      </c>
      <c r="E56" s="437" t="s">
        <v>121</v>
      </c>
      <c r="F56" s="293" t="s">
        <v>717</v>
      </c>
      <c r="G56" s="726" t="s">
        <v>640</v>
      </c>
      <c r="H56" s="610">
        <f t="shared" si="4"/>
        <v>1000000</v>
      </c>
      <c r="I56" s="610">
        <v>1000000</v>
      </c>
      <c r="J56" s="610"/>
      <c r="K56" s="610"/>
      <c r="L56" s="595"/>
      <c r="M56" s="549"/>
      <c r="N56" s="584"/>
      <c r="O56" s="484"/>
      <c r="P56" s="381"/>
      <c r="Q56" s="381"/>
      <c r="R56" s="381"/>
    </row>
    <row r="57" spans="1:18" s="474" customFormat="1" ht="76.5" customHeight="1">
      <c r="A57" s="149" t="s">
        <v>43</v>
      </c>
      <c r="B57" s="454" t="s">
        <v>652</v>
      </c>
      <c r="C57" s="454" t="s">
        <v>43</v>
      </c>
      <c r="D57" s="454" t="s">
        <v>912</v>
      </c>
      <c r="E57" s="430" t="s">
        <v>653</v>
      </c>
      <c r="F57" s="220" t="s">
        <v>717</v>
      </c>
      <c r="G57" s="720" t="s">
        <v>640</v>
      </c>
      <c r="H57" s="445">
        <f t="shared" si="4"/>
        <v>29400</v>
      </c>
      <c r="I57" s="445">
        <f>19940+9460</f>
        <v>29400</v>
      </c>
      <c r="J57" s="445"/>
      <c r="K57" s="445"/>
      <c r="L57" s="595">
        <f>'Дод.3'!H56</f>
        <v>29400</v>
      </c>
      <c r="M57" s="549">
        <f t="shared" si="5"/>
        <v>0</v>
      </c>
      <c r="N57" s="584">
        <f>'Дод.3'!M56</f>
        <v>0</v>
      </c>
      <c r="O57" s="484">
        <f t="shared" si="6"/>
        <v>0</v>
      </c>
      <c r="P57" s="381"/>
      <c r="Q57" s="381"/>
      <c r="R57" s="381"/>
    </row>
    <row r="58" spans="1:18" s="474" customFormat="1" ht="63" customHeight="1" hidden="1">
      <c r="A58" s="149">
        <v>3202</v>
      </c>
      <c r="B58" s="545" t="s">
        <v>551</v>
      </c>
      <c r="C58" s="545" t="s">
        <v>577</v>
      </c>
      <c r="D58" s="545">
        <v>1030</v>
      </c>
      <c r="E58" s="546" t="s">
        <v>512</v>
      </c>
      <c r="F58" s="220" t="s">
        <v>459</v>
      </c>
      <c r="G58" s="720"/>
      <c r="H58" s="445">
        <f t="shared" si="4"/>
        <v>0</v>
      </c>
      <c r="I58" s="445"/>
      <c r="J58" s="445"/>
      <c r="K58" s="445"/>
      <c r="L58" s="595">
        <f>'Дод.3'!H57</f>
        <v>653300</v>
      </c>
      <c r="M58" s="549">
        <f t="shared" si="5"/>
        <v>653300</v>
      </c>
      <c r="N58" s="588"/>
      <c r="O58" s="484">
        <f t="shared" si="6"/>
        <v>0</v>
      </c>
      <c r="P58" s="381"/>
      <c r="Q58" s="381"/>
      <c r="R58" s="381"/>
    </row>
    <row r="59" spans="1:18" s="474" customFormat="1" ht="102.75" customHeight="1">
      <c r="A59" s="372"/>
      <c r="B59" s="466" t="s">
        <v>551</v>
      </c>
      <c r="C59" s="466" t="s">
        <v>577</v>
      </c>
      <c r="D59" s="466">
        <v>1030</v>
      </c>
      <c r="E59" s="546" t="s">
        <v>512</v>
      </c>
      <c r="F59" s="220" t="s">
        <v>770</v>
      </c>
      <c r="G59" s="720" t="s">
        <v>445</v>
      </c>
      <c r="H59" s="445">
        <f t="shared" si="4"/>
        <v>32989</v>
      </c>
      <c r="I59" s="445">
        <f>6629+500+20000+5860</f>
        <v>32989</v>
      </c>
      <c r="J59" s="445"/>
      <c r="K59" s="445"/>
      <c r="L59" s="595">
        <f>'Дод.3'!H77</f>
        <v>32989</v>
      </c>
      <c r="M59" s="549">
        <f t="shared" si="5"/>
        <v>0</v>
      </c>
      <c r="N59" s="588">
        <f>'Дод.3'!M77</f>
        <v>0</v>
      </c>
      <c r="O59" s="484">
        <f t="shared" si="6"/>
        <v>0</v>
      </c>
      <c r="P59" s="381"/>
      <c r="Q59" s="381"/>
      <c r="R59" s="381"/>
    </row>
    <row r="60" spans="1:18" s="474" customFormat="1" ht="73.5" customHeight="1">
      <c r="A60" s="372"/>
      <c r="B60" s="454" t="s">
        <v>1023</v>
      </c>
      <c r="C60" s="464">
        <v>3123</v>
      </c>
      <c r="D60" s="454" t="s">
        <v>887</v>
      </c>
      <c r="E60" s="435" t="s">
        <v>94</v>
      </c>
      <c r="F60" s="220" t="s">
        <v>368</v>
      </c>
      <c r="G60" s="720" t="s">
        <v>398</v>
      </c>
      <c r="H60" s="445">
        <f t="shared" si="4"/>
        <v>28000</v>
      </c>
      <c r="I60" s="445">
        <v>28000</v>
      </c>
      <c r="J60" s="445"/>
      <c r="K60" s="445"/>
      <c r="L60" s="598">
        <f>'Дод.3'!H74</f>
        <v>28000</v>
      </c>
      <c r="M60" s="549">
        <f t="shared" si="5"/>
        <v>0</v>
      </c>
      <c r="N60" s="588">
        <f>'Дод.3'!M74</f>
        <v>0</v>
      </c>
      <c r="O60" s="484">
        <f t="shared" si="6"/>
        <v>0</v>
      </c>
      <c r="P60" s="381"/>
      <c r="Q60" s="381"/>
      <c r="R60" s="381"/>
    </row>
    <row r="61" spans="1:18" s="474" customFormat="1" ht="111" customHeight="1">
      <c r="A61" s="372"/>
      <c r="B61" s="454" t="s">
        <v>1024</v>
      </c>
      <c r="C61" s="458">
        <v>3140</v>
      </c>
      <c r="D61" s="458">
        <v>1040</v>
      </c>
      <c r="E61" s="431" t="s">
        <v>885</v>
      </c>
      <c r="F61" s="220" t="s">
        <v>366</v>
      </c>
      <c r="G61" s="720" t="s">
        <v>396</v>
      </c>
      <c r="H61" s="445">
        <f t="shared" si="4"/>
        <v>810209</v>
      </c>
      <c r="I61" s="747">
        <f>199000+611209</f>
        <v>810209</v>
      </c>
      <c r="J61" s="445"/>
      <c r="K61" s="445"/>
      <c r="L61" s="598">
        <f>'Дод.3'!H75</f>
        <v>810209</v>
      </c>
      <c r="M61" s="549">
        <f t="shared" si="5"/>
        <v>0</v>
      </c>
      <c r="N61" s="588">
        <f>'Дод.3'!M75</f>
        <v>0</v>
      </c>
      <c r="O61" s="484">
        <f t="shared" si="6"/>
        <v>0</v>
      </c>
      <c r="P61" s="381"/>
      <c r="Q61" s="381"/>
      <c r="R61" s="381"/>
    </row>
    <row r="62" spans="2:18" s="474" customFormat="1" ht="54" customHeight="1">
      <c r="B62" s="453" t="s">
        <v>532</v>
      </c>
      <c r="C62" s="457"/>
      <c r="D62" s="457"/>
      <c r="E62" s="388" t="s">
        <v>533</v>
      </c>
      <c r="F62" s="304"/>
      <c r="G62" s="621"/>
      <c r="H62" s="447">
        <f>H63</f>
        <v>10000</v>
      </c>
      <c r="I62" s="447">
        <f>I63</f>
        <v>10000</v>
      </c>
      <c r="J62" s="447">
        <f>J63</f>
        <v>0</v>
      </c>
      <c r="K62" s="447">
        <f>K63</f>
        <v>0</v>
      </c>
      <c r="L62" s="595"/>
      <c r="M62" s="549"/>
      <c r="N62" s="584"/>
      <c r="O62" s="484"/>
      <c r="P62" s="381"/>
      <c r="Q62" s="381"/>
      <c r="R62" s="381"/>
    </row>
    <row r="63" spans="2:18" s="474" customFormat="1" ht="54" customHeight="1">
      <c r="B63" s="453" t="s">
        <v>534</v>
      </c>
      <c r="C63" s="457"/>
      <c r="D63" s="457"/>
      <c r="E63" s="388" t="s">
        <v>533</v>
      </c>
      <c r="F63" s="304"/>
      <c r="G63" s="621"/>
      <c r="H63" s="447">
        <f>SUM(H64)</f>
        <v>10000</v>
      </c>
      <c r="I63" s="447">
        <f>SUM(I64)</f>
        <v>10000</v>
      </c>
      <c r="J63" s="447">
        <f>SUM(J64)</f>
        <v>0</v>
      </c>
      <c r="K63" s="447">
        <f>SUM(K64)</f>
        <v>0</v>
      </c>
      <c r="L63" s="595"/>
      <c r="M63" s="549"/>
      <c r="N63" s="584"/>
      <c r="O63" s="484"/>
      <c r="P63" s="381"/>
      <c r="Q63" s="381"/>
      <c r="R63" s="381"/>
    </row>
    <row r="64" spans="1:18" s="474" customFormat="1" ht="87" customHeight="1">
      <c r="A64" s="147" t="s">
        <v>923</v>
      </c>
      <c r="B64" s="454" t="s">
        <v>535</v>
      </c>
      <c r="C64" s="454" t="s">
        <v>923</v>
      </c>
      <c r="D64" s="454" t="s">
        <v>887</v>
      </c>
      <c r="E64" s="433" t="s">
        <v>924</v>
      </c>
      <c r="F64" s="293" t="s">
        <v>581</v>
      </c>
      <c r="G64" s="726" t="s">
        <v>164</v>
      </c>
      <c r="H64" s="610">
        <f>I64+J64</f>
        <v>10000</v>
      </c>
      <c r="I64" s="610">
        <v>10000</v>
      </c>
      <c r="J64" s="610"/>
      <c r="K64" s="610"/>
      <c r="L64" s="595">
        <f>'Дод.3'!H82</f>
        <v>10000</v>
      </c>
      <c r="M64" s="549">
        <f>L64-I64</f>
        <v>0</v>
      </c>
      <c r="N64" s="584">
        <f>'Дод.3'!M82</f>
        <v>0</v>
      </c>
      <c r="O64" s="484">
        <f>N64-J64</f>
        <v>0</v>
      </c>
      <c r="P64" s="381"/>
      <c r="Q64" s="381"/>
      <c r="R64" s="381"/>
    </row>
    <row r="65" spans="1:18" s="474" customFormat="1" ht="54.75" customHeight="1">
      <c r="A65" s="294"/>
      <c r="B65" s="453" t="s">
        <v>12</v>
      </c>
      <c r="C65" s="453"/>
      <c r="D65" s="453"/>
      <c r="E65" s="389" t="s">
        <v>37</v>
      </c>
      <c r="F65" s="434"/>
      <c r="G65" s="623"/>
      <c r="H65" s="451">
        <f>H66</f>
        <v>327933</v>
      </c>
      <c r="I65" s="451">
        <f>I66</f>
        <v>327933</v>
      </c>
      <c r="J65" s="451">
        <f>J66</f>
        <v>0</v>
      </c>
      <c r="K65" s="451">
        <f>K66</f>
        <v>0</v>
      </c>
      <c r="L65" s="595"/>
      <c r="M65" s="549"/>
      <c r="N65" s="584"/>
      <c r="O65" s="484"/>
      <c r="P65" s="381"/>
      <c r="Q65" s="381"/>
      <c r="R65" s="381"/>
    </row>
    <row r="66" spans="1:18" s="474" customFormat="1" ht="54" customHeight="1">
      <c r="A66" s="294"/>
      <c r="B66" s="453" t="s">
        <v>1034</v>
      </c>
      <c r="C66" s="453"/>
      <c r="D66" s="453"/>
      <c r="E66" s="389" t="s">
        <v>37</v>
      </c>
      <c r="F66" s="434"/>
      <c r="G66" s="623"/>
      <c r="H66" s="447">
        <f>SUM(H67:H70)</f>
        <v>327933</v>
      </c>
      <c r="I66" s="447">
        <f>SUM(I67:I70)</f>
        <v>327933</v>
      </c>
      <c r="J66" s="447">
        <f>SUM(J67:J70)</f>
        <v>0</v>
      </c>
      <c r="K66" s="447">
        <f>SUM(K67:K70)</f>
        <v>0</v>
      </c>
      <c r="L66" s="595"/>
      <c r="M66" s="549"/>
      <c r="N66" s="584"/>
      <c r="O66" s="484"/>
      <c r="P66" s="381"/>
      <c r="Q66" s="381"/>
      <c r="R66" s="381"/>
    </row>
    <row r="67" spans="1:18" s="474" customFormat="1" ht="58.5" customHeight="1" hidden="1">
      <c r="A67" s="294"/>
      <c r="B67" s="928" t="s">
        <v>537</v>
      </c>
      <c r="C67" s="928" t="s">
        <v>538</v>
      </c>
      <c r="D67" s="928" t="s">
        <v>185</v>
      </c>
      <c r="E67" s="936" t="s">
        <v>539</v>
      </c>
      <c r="F67" s="450" t="s">
        <v>362</v>
      </c>
      <c r="G67" s="620" t="s">
        <v>389</v>
      </c>
      <c r="H67" s="445">
        <f>I67+J67</f>
        <v>0</v>
      </c>
      <c r="I67" s="374"/>
      <c r="J67" s="374"/>
      <c r="K67" s="374"/>
      <c r="L67" s="595"/>
      <c r="M67" s="549"/>
      <c r="N67" s="584"/>
      <c r="O67" s="484"/>
      <c r="P67" s="381"/>
      <c r="Q67" s="381"/>
      <c r="R67" s="381"/>
    </row>
    <row r="68" spans="1:18" s="474" customFormat="1" ht="63" customHeight="1" hidden="1">
      <c r="A68" s="294"/>
      <c r="B68" s="930"/>
      <c r="C68" s="934"/>
      <c r="D68" s="930"/>
      <c r="E68" s="938"/>
      <c r="F68" s="220" t="s">
        <v>365</v>
      </c>
      <c r="G68" s="620" t="s">
        <v>553</v>
      </c>
      <c r="H68" s="445">
        <f>I68+J68</f>
        <v>0</v>
      </c>
      <c r="I68" s="374"/>
      <c r="J68" s="374"/>
      <c r="K68" s="374"/>
      <c r="L68" s="595"/>
      <c r="M68" s="549"/>
      <c r="N68" s="584"/>
      <c r="O68" s="484"/>
      <c r="P68" s="381"/>
      <c r="Q68" s="381"/>
      <c r="R68" s="381"/>
    </row>
    <row r="69" spans="1:18" s="474" customFormat="1" ht="73.5" customHeight="1">
      <c r="A69" s="294"/>
      <c r="B69" s="454" t="s">
        <v>678</v>
      </c>
      <c r="C69" s="454" t="s">
        <v>976</v>
      </c>
      <c r="D69" s="454" t="s">
        <v>189</v>
      </c>
      <c r="E69" s="433" t="s">
        <v>541</v>
      </c>
      <c r="F69" s="220" t="s">
        <v>718</v>
      </c>
      <c r="G69" s="720" t="s">
        <v>639</v>
      </c>
      <c r="H69" s="445">
        <f>I69+J69</f>
        <v>37500</v>
      </c>
      <c r="I69" s="374">
        <v>37500</v>
      </c>
      <c r="J69" s="374"/>
      <c r="K69" s="374"/>
      <c r="L69" s="595"/>
      <c r="M69" s="549"/>
      <c r="N69" s="584"/>
      <c r="O69" s="484"/>
      <c r="P69" s="381"/>
      <c r="Q69" s="381"/>
      <c r="R69" s="381"/>
    </row>
    <row r="70" spans="1:18" s="474" customFormat="1" ht="67.5" customHeight="1">
      <c r="A70" s="294"/>
      <c r="B70" s="454" t="s">
        <v>90</v>
      </c>
      <c r="C70" s="454" t="s">
        <v>91</v>
      </c>
      <c r="D70" s="454" t="s">
        <v>192</v>
      </c>
      <c r="E70" s="433" t="s">
        <v>93</v>
      </c>
      <c r="F70" s="220" t="s">
        <v>367</v>
      </c>
      <c r="G70" s="720" t="s">
        <v>397</v>
      </c>
      <c r="H70" s="445">
        <f>I70+J70</f>
        <v>290433</v>
      </c>
      <c r="I70" s="445">
        <f>136613+5000+18000+20820+50000+60000</f>
        <v>290433</v>
      </c>
      <c r="J70" s="445"/>
      <c r="K70" s="610"/>
      <c r="L70" s="595">
        <f>'Дод.3'!H90</f>
        <v>290433</v>
      </c>
      <c r="M70" s="549">
        <f>L70-I70</f>
        <v>0</v>
      </c>
      <c r="N70" s="584">
        <f>'Дод.3'!M90</f>
        <v>0</v>
      </c>
      <c r="O70" s="484">
        <f>N70-J70</f>
        <v>0</v>
      </c>
      <c r="P70" s="381"/>
      <c r="Q70" s="381"/>
      <c r="R70" s="381"/>
    </row>
    <row r="71" spans="2:18" s="474" customFormat="1" ht="88.5" customHeight="1">
      <c r="B71" s="465">
        <v>1200000</v>
      </c>
      <c r="C71" s="457"/>
      <c r="D71" s="457"/>
      <c r="E71" s="386" t="s">
        <v>296</v>
      </c>
      <c r="F71" s="304"/>
      <c r="G71" s="621"/>
      <c r="H71" s="447">
        <f>H72</f>
        <v>150000</v>
      </c>
      <c r="I71" s="447">
        <f>I72</f>
        <v>150000</v>
      </c>
      <c r="J71" s="447">
        <f>J72</f>
        <v>0</v>
      </c>
      <c r="K71" s="447">
        <f>K72</f>
        <v>0</v>
      </c>
      <c r="L71" s="587"/>
      <c r="M71" s="565"/>
      <c r="N71" s="587"/>
      <c r="O71" s="578"/>
      <c r="P71" s="381"/>
      <c r="Q71" s="381"/>
      <c r="R71" s="381"/>
    </row>
    <row r="72" spans="2:18" s="474" customFormat="1" ht="90" customHeight="1">
      <c r="B72" s="459">
        <v>1210000</v>
      </c>
      <c r="C72" s="459"/>
      <c r="D72" s="459"/>
      <c r="E72" s="386" t="s">
        <v>296</v>
      </c>
      <c r="F72" s="304"/>
      <c r="G72" s="621"/>
      <c r="H72" s="447">
        <f>SUM(H74:H77)</f>
        <v>150000</v>
      </c>
      <c r="I72" s="447">
        <f>SUM(I74:I77)</f>
        <v>150000</v>
      </c>
      <c r="J72" s="447">
        <f>SUM(J74:J77)</f>
        <v>0</v>
      </c>
      <c r="K72" s="447">
        <f>SUM(K74:K77)</f>
        <v>0</v>
      </c>
      <c r="L72" s="587"/>
      <c r="M72" s="565"/>
      <c r="N72" s="587"/>
      <c r="O72" s="578"/>
      <c r="P72" s="381"/>
      <c r="Q72" s="381"/>
      <c r="R72" s="381"/>
    </row>
    <row r="73" spans="2:18" s="474" customFormat="1" ht="99.75" customHeight="1" hidden="1">
      <c r="B73" s="458">
        <v>1216084</v>
      </c>
      <c r="C73" s="458">
        <v>6084</v>
      </c>
      <c r="D73" s="454" t="s">
        <v>206</v>
      </c>
      <c r="E73" s="390" t="s">
        <v>207</v>
      </c>
      <c r="F73" s="220" t="s">
        <v>666</v>
      </c>
      <c r="G73" s="620"/>
      <c r="H73" s="445"/>
      <c r="I73" s="448"/>
      <c r="J73" s="448"/>
      <c r="K73" s="448"/>
      <c r="L73" s="584"/>
      <c r="M73" s="565"/>
      <c r="N73" s="587"/>
      <c r="O73" s="578"/>
      <c r="P73" s="381"/>
      <c r="Q73" s="381"/>
      <c r="R73" s="381"/>
    </row>
    <row r="74" spans="1:18" s="474" customFormat="1" ht="97.5" customHeight="1">
      <c r="A74" s="272"/>
      <c r="B74" s="455" t="s">
        <v>526</v>
      </c>
      <c r="C74" s="455" t="s">
        <v>525</v>
      </c>
      <c r="D74" s="455" t="s">
        <v>884</v>
      </c>
      <c r="E74" s="432" t="s">
        <v>524</v>
      </c>
      <c r="F74" s="293" t="s">
        <v>364</v>
      </c>
      <c r="G74" s="726" t="s">
        <v>394</v>
      </c>
      <c r="H74" s="610">
        <f>I74+J74</f>
        <v>50000</v>
      </c>
      <c r="I74" s="610">
        <v>50000</v>
      </c>
      <c r="J74" s="610"/>
      <c r="K74" s="610"/>
      <c r="L74" s="584">
        <f>'Дод.3'!H94</f>
        <v>50000</v>
      </c>
      <c r="M74" s="567">
        <f>L74-I74</f>
        <v>0</v>
      </c>
      <c r="N74" s="584">
        <f>'Дод.3'!M94</f>
        <v>0</v>
      </c>
      <c r="O74" s="484">
        <f>N74-J74</f>
        <v>0</v>
      </c>
      <c r="P74" s="381"/>
      <c r="Q74" s="381"/>
      <c r="R74" s="381"/>
    </row>
    <row r="75" spans="1:18" s="474" customFormat="1" ht="87" customHeight="1">
      <c r="A75" s="272"/>
      <c r="B75" s="454" t="s">
        <v>654</v>
      </c>
      <c r="C75" s="454" t="s">
        <v>655</v>
      </c>
      <c r="D75" s="454" t="s">
        <v>656</v>
      </c>
      <c r="E75" s="433" t="s">
        <v>657</v>
      </c>
      <c r="F75" s="293" t="s">
        <v>166</v>
      </c>
      <c r="G75" s="726" t="s">
        <v>161</v>
      </c>
      <c r="H75" s="610">
        <f>I75+J75</f>
        <v>50000</v>
      </c>
      <c r="I75" s="610">
        <v>50000</v>
      </c>
      <c r="J75" s="610"/>
      <c r="K75" s="610"/>
      <c r="L75" s="584">
        <f>'Дод.3'!H95</f>
        <v>50000</v>
      </c>
      <c r="M75" s="567">
        <f>L75-I75</f>
        <v>0</v>
      </c>
      <c r="N75" s="584">
        <f>'Дод.3'!M95</f>
        <v>0</v>
      </c>
      <c r="O75" s="484">
        <f>N75-J75</f>
        <v>0</v>
      </c>
      <c r="P75" s="381"/>
      <c r="Q75" s="381"/>
      <c r="R75" s="381"/>
    </row>
    <row r="76" spans="1:18" s="474" customFormat="1" ht="64.5" customHeight="1">
      <c r="A76" s="272"/>
      <c r="B76" s="454" t="s">
        <v>542</v>
      </c>
      <c r="C76" s="454" t="s">
        <v>543</v>
      </c>
      <c r="D76" s="454" t="s">
        <v>196</v>
      </c>
      <c r="E76" s="433" t="s">
        <v>544</v>
      </c>
      <c r="F76" s="293" t="s">
        <v>716</v>
      </c>
      <c r="G76" s="726" t="s">
        <v>160</v>
      </c>
      <c r="H76" s="610">
        <f>I76+J76</f>
        <v>30000</v>
      </c>
      <c r="I76" s="610">
        <v>30000</v>
      </c>
      <c r="J76" s="610"/>
      <c r="K76" s="610"/>
      <c r="L76" s="584">
        <f>'Дод.3'!H96</f>
        <v>30000</v>
      </c>
      <c r="M76" s="567">
        <f>L76-I76</f>
        <v>0</v>
      </c>
      <c r="N76" s="584">
        <f>'Дод.3'!M96</f>
        <v>0</v>
      </c>
      <c r="O76" s="484">
        <f>N76-J76</f>
        <v>0</v>
      </c>
      <c r="P76" s="381"/>
      <c r="Q76" s="381"/>
      <c r="R76" s="381"/>
    </row>
    <row r="77" spans="1:18" s="474" customFormat="1" ht="50.25" customHeight="1">
      <c r="A77" s="272"/>
      <c r="B77" s="454" t="s">
        <v>658</v>
      </c>
      <c r="C77" s="454" t="s">
        <v>659</v>
      </c>
      <c r="D77" s="454" t="s">
        <v>660</v>
      </c>
      <c r="E77" s="433" t="s">
        <v>496</v>
      </c>
      <c r="F77" s="293" t="s">
        <v>716</v>
      </c>
      <c r="G77" s="726" t="s">
        <v>165</v>
      </c>
      <c r="H77" s="610">
        <f>I77+J77</f>
        <v>20000</v>
      </c>
      <c r="I77" s="610">
        <v>20000</v>
      </c>
      <c r="J77" s="610"/>
      <c r="K77" s="610"/>
      <c r="L77" s="584">
        <f>'Дод.3'!H97</f>
        <v>20000</v>
      </c>
      <c r="M77" s="567">
        <f>L77-I77</f>
        <v>0</v>
      </c>
      <c r="N77" s="584">
        <f>'Дод.3'!M97</f>
        <v>0</v>
      </c>
      <c r="O77" s="484">
        <f>N77-J77</f>
        <v>0</v>
      </c>
      <c r="P77" s="381"/>
      <c r="Q77" s="381"/>
      <c r="R77" s="381"/>
    </row>
    <row r="78" spans="1:18" s="474" customFormat="1" ht="49.5" customHeight="1" hidden="1">
      <c r="A78" s="272"/>
      <c r="B78" s="367" t="s">
        <v>665</v>
      </c>
      <c r="C78" s="367" t="s">
        <v>667</v>
      </c>
      <c r="D78" s="367"/>
      <c r="E78" s="387" t="s">
        <v>668</v>
      </c>
      <c r="F78" s="220"/>
      <c r="G78" s="620"/>
      <c r="H78" s="445"/>
      <c r="I78" s="445">
        <f>I79</f>
        <v>0</v>
      </c>
      <c r="J78" s="445">
        <f>J79</f>
        <v>0</v>
      </c>
      <c r="K78" s="445"/>
      <c r="L78" s="584"/>
      <c r="M78" s="567"/>
      <c r="N78" s="584"/>
      <c r="O78" s="484"/>
      <c r="P78" s="381"/>
      <c r="Q78" s="381"/>
      <c r="R78" s="381"/>
    </row>
    <row r="79" spans="1:18" s="474" customFormat="1" ht="57" customHeight="1" hidden="1">
      <c r="A79" s="272"/>
      <c r="B79" s="460" t="s">
        <v>669</v>
      </c>
      <c r="C79" s="460" t="s">
        <v>670</v>
      </c>
      <c r="D79" s="460" t="s">
        <v>941</v>
      </c>
      <c r="E79" s="197" t="s">
        <v>671</v>
      </c>
      <c r="F79" s="220" t="s">
        <v>666</v>
      </c>
      <c r="G79" s="620"/>
      <c r="H79" s="445"/>
      <c r="I79" s="445"/>
      <c r="J79" s="445">
        <v>0</v>
      </c>
      <c r="K79" s="445"/>
      <c r="L79" s="584"/>
      <c r="M79" s="567"/>
      <c r="N79" s="584"/>
      <c r="O79" s="484"/>
      <c r="P79" s="381"/>
      <c r="Q79" s="381"/>
      <c r="R79" s="381"/>
    </row>
    <row r="80" spans="1:18" s="474" customFormat="1" ht="87" customHeight="1">
      <c r="A80" s="272"/>
      <c r="B80" s="459">
        <v>1600000</v>
      </c>
      <c r="C80" s="461"/>
      <c r="D80" s="461"/>
      <c r="E80" s="389" t="s">
        <v>1020</v>
      </c>
      <c r="F80" s="304"/>
      <c r="G80" s="621"/>
      <c r="H80" s="447">
        <f>H81</f>
        <v>100000</v>
      </c>
      <c r="I80" s="447">
        <f>I81</f>
        <v>100000</v>
      </c>
      <c r="J80" s="447">
        <f>J81</f>
        <v>0</v>
      </c>
      <c r="K80" s="447">
        <f>K81</f>
        <v>0</v>
      </c>
      <c r="L80" s="584"/>
      <c r="M80" s="567"/>
      <c r="N80" s="584"/>
      <c r="O80" s="484"/>
      <c r="P80" s="381"/>
      <c r="Q80" s="381"/>
      <c r="R80" s="381"/>
    </row>
    <row r="81" spans="1:18" s="474" customFormat="1" ht="78" customHeight="1">
      <c r="A81" s="272"/>
      <c r="B81" s="459">
        <v>1610000</v>
      </c>
      <c r="C81" s="461"/>
      <c r="D81" s="461"/>
      <c r="E81" s="389" t="s">
        <v>1020</v>
      </c>
      <c r="F81" s="304"/>
      <c r="G81" s="621"/>
      <c r="H81" s="447">
        <f>SUM(H82)</f>
        <v>100000</v>
      </c>
      <c r="I81" s="447">
        <f>SUM(I82)</f>
        <v>100000</v>
      </c>
      <c r="J81" s="447">
        <f>SUM(J82)</f>
        <v>0</v>
      </c>
      <c r="K81" s="447">
        <f>SUM(K82)</f>
        <v>0</v>
      </c>
      <c r="L81" s="584"/>
      <c r="M81" s="567"/>
      <c r="N81" s="584"/>
      <c r="O81" s="484"/>
      <c r="P81" s="381"/>
      <c r="Q81" s="381"/>
      <c r="R81" s="381"/>
    </row>
    <row r="82" spans="1:18" s="477" customFormat="1" ht="51.75" customHeight="1">
      <c r="A82" s="272"/>
      <c r="B82" s="454" t="s">
        <v>1021</v>
      </c>
      <c r="C82" s="454" t="s">
        <v>490</v>
      </c>
      <c r="D82" s="454" t="s">
        <v>650</v>
      </c>
      <c r="E82" s="433" t="s">
        <v>491</v>
      </c>
      <c r="F82" s="293" t="s">
        <v>718</v>
      </c>
      <c r="G82" s="726" t="s">
        <v>639</v>
      </c>
      <c r="H82" s="610">
        <f>I82+J82</f>
        <v>100000</v>
      </c>
      <c r="I82" s="610">
        <v>100000</v>
      </c>
      <c r="J82" s="445"/>
      <c r="K82" s="445"/>
      <c r="L82" s="535">
        <f>'Дод.3'!H100</f>
        <v>100000</v>
      </c>
      <c r="M82" s="549">
        <f>L82-I82</f>
        <v>0</v>
      </c>
      <c r="N82" s="535"/>
      <c r="O82" s="533"/>
      <c r="P82" s="384"/>
      <c r="Q82" s="384"/>
      <c r="R82" s="384"/>
    </row>
    <row r="83" spans="1:18" s="474" customFormat="1" ht="61.5" customHeight="1" hidden="1">
      <c r="A83" s="272"/>
      <c r="B83" s="459">
        <v>2400000</v>
      </c>
      <c r="C83" s="461"/>
      <c r="D83" s="461"/>
      <c r="E83" s="389" t="s">
        <v>38</v>
      </c>
      <c r="F83" s="304"/>
      <c r="G83" s="621"/>
      <c r="H83" s="447">
        <f>H84</f>
        <v>0</v>
      </c>
      <c r="I83" s="447">
        <f>I84</f>
        <v>0</v>
      </c>
      <c r="J83" s="447">
        <f>J84</f>
        <v>0</v>
      </c>
      <c r="K83" s="447">
        <f>K84</f>
        <v>0</v>
      </c>
      <c r="L83" s="584"/>
      <c r="M83" s="567"/>
      <c r="N83" s="584"/>
      <c r="O83" s="484"/>
      <c r="P83" s="381"/>
      <c r="Q83" s="381"/>
      <c r="R83" s="381"/>
    </row>
    <row r="84" spans="1:18" s="474" customFormat="1" ht="71.25" customHeight="1" hidden="1">
      <c r="A84" s="272"/>
      <c r="B84" s="459">
        <v>2410000</v>
      </c>
      <c r="C84" s="461"/>
      <c r="D84" s="461"/>
      <c r="E84" s="389" t="s">
        <v>38</v>
      </c>
      <c r="F84" s="304"/>
      <c r="G84" s="621"/>
      <c r="H84" s="447">
        <f>SUM(H85:H86)</f>
        <v>0</v>
      </c>
      <c r="I84" s="447">
        <f>SUM(I85:I86)</f>
        <v>0</v>
      </c>
      <c r="J84" s="447">
        <f>SUM(J85:J86)</f>
        <v>0</v>
      </c>
      <c r="K84" s="447">
        <f>SUM(K85:K86)</f>
        <v>0</v>
      </c>
      <c r="L84" s="584"/>
      <c r="M84" s="567"/>
      <c r="N84" s="584"/>
      <c r="O84" s="484"/>
      <c r="P84" s="381"/>
      <c r="Q84" s="381"/>
      <c r="R84" s="381"/>
    </row>
    <row r="85" spans="1:18" s="474" customFormat="1" ht="66" customHeight="1" hidden="1">
      <c r="A85" s="272"/>
      <c r="B85" s="458">
        <v>2417110</v>
      </c>
      <c r="C85" s="458">
        <v>7110</v>
      </c>
      <c r="D85" s="454" t="s">
        <v>913</v>
      </c>
      <c r="E85" s="433" t="s">
        <v>564</v>
      </c>
      <c r="F85" s="220" t="s">
        <v>379</v>
      </c>
      <c r="G85" s="620" t="s">
        <v>399</v>
      </c>
      <c r="H85" s="445">
        <f>I85+J85</f>
        <v>0</v>
      </c>
      <c r="I85" s="445"/>
      <c r="J85" s="445"/>
      <c r="K85" s="445"/>
      <c r="L85" s="584"/>
      <c r="M85" s="567"/>
      <c r="N85" s="584"/>
      <c r="O85" s="484"/>
      <c r="P85" s="381"/>
      <c r="Q85" s="381"/>
      <c r="R85" s="381"/>
    </row>
    <row r="86" spans="1:18" s="474" customFormat="1" ht="62.25" customHeight="1" hidden="1">
      <c r="A86" s="272"/>
      <c r="B86" s="458">
        <v>2417140</v>
      </c>
      <c r="C86" s="458">
        <v>7140</v>
      </c>
      <c r="D86" s="454" t="s">
        <v>913</v>
      </c>
      <c r="E86" s="433" t="s">
        <v>511</v>
      </c>
      <c r="F86" s="220" t="s">
        <v>356</v>
      </c>
      <c r="G86" s="620" t="s">
        <v>357</v>
      </c>
      <c r="H86" s="445">
        <f>I86+J86</f>
        <v>0</v>
      </c>
      <c r="I86" s="445"/>
      <c r="J86" s="445"/>
      <c r="K86" s="445"/>
      <c r="L86" s="584"/>
      <c r="M86" s="567"/>
      <c r="N86" s="584"/>
      <c r="O86" s="484"/>
      <c r="P86" s="381"/>
      <c r="Q86" s="381"/>
      <c r="R86" s="381"/>
    </row>
    <row r="87" spans="1:18" s="474" customFormat="1" ht="68.25" customHeight="1">
      <c r="A87" s="272"/>
      <c r="B87" s="453" t="s">
        <v>565</v>
      </c>
      <c r="C87" s="456"/>
      <c r="D87" s="456"/>
      <c r="E87" s="389" t="s">
        <v>197</v>
      </c>
      <c r="F87" s="304"/>
      <c r="G87" s="621"/>
      <c r="H87" s="447">
        <f>H88</f>
        <v>55000</v>
      </c>
      <c r="I87" s="447">
        <f>I88</f>
        <v>55000</v>
      </c>
      <c r="J87" s="447">
        <f>J88</f>
        <v>0</v>
      </c>
      <c r="K87" s="447">
        <f>K88</f>
        <v>0</v>
      </c>
      <c r="L87" s="584"/>
      <c r="M87" s="567"/>
      <c r="N87" s="584"/>
      <c r="O87" s="484"/>
      <c r="P87" s="381"/>
      <c r="Q87" s="381"/>
      <c r="R87" s="381"/>
    </row>
    <row r="88" spans="1:18" s="474" customFormat="1" ht="68.25" customHeight="1">
      <c r="A88" s="272"/>
      <c r="B88" s="453" t="s">
        <v>566</v>
      </c>
      <c r="C88" s="456"/>
      <c r="D88" s="456"/>
      <c r="E88" s="389" t="s">
        <v>197</v>
      </c>
      <c r="F88" s="304"/>
      <c r="G88" s="621"/>
      <c r="H88" s="447">
        <f>SUM(H89:H90)</f>
        <v>55000</v>
      </c>
      <c r="I88" s="447">
        <f>SUM(I89:I90)</f>
        <v>55000</v>
      </c>
      <c r="J88" s="447">
        <f>SUM(J89:J90)</f>
        <v>0</v>
      </c>
      <c r="K88" s="447">
        <f>SUM(K89:K90)</f>
        <v>0</v>
      </c>
      <c r="L88" s="584"/>
      <c r="M88" s="567"/>
      <c r="N88" s="584"/>
      <c r="O88" s="484"/>
      <c r="P88" s="381"/>
      <c r="Q88" s="381"/>
      <c r="R88" s="381"/>
    </row>
    <row r="89" spans="1:18" s="474" customFormat="1" ht="68.25" customHeight="1" hidden="1">
      <c r="A89" s="272"/>
      <c r="B89" s="454" t="s">
        <v>567</v>
      </c>
      <c r="C89" s="454" t="s">
        <v>521</v>
      </c>
      <c r="D89" s="454" t="s">
        <v>995</v>
      </c>
      <c r="E89" s="433" t="s">
        <v>996</v>
      </c>
      <c r="F89" s="220" t="s">
        <v>380</v>
      </c>
      <c r="G89" s="620" t="s">
        <v>400</v>
      </c>
      <c r="H89" s="445">
        <f>I89+J89</f>
        <v>0</v>
      </c>
      <c r="I89" s="445"/>
      <c r="J89" s="445"/>
      <c r="K89" s="445"/>
      <c r="L89" s="584"/>
      <c r="M89" s="567"/>
      <c r="N89" s="584"/>
      <c r="O89" s="484"/>
      <c r="P89" s="381"/>
      <c r="Q89" s="381"/>
      <c r="R89" s="381"/>
    </row>
    <row r="90" spans="1:18" s="474" customFormat="1" ht="54.75" customHeight="1">
      <c r="A90" s="272"/>
      <c r="B90" s="455" t="s">
        <v>661</v>
      </c>
      <c r="C90" s="455" t="s">
        <v>662</v>
      </c>
      <c r="D90" s="455" t="s">
        <v>663</v>
      </c>
      <c r="E90" s="437" t="s">
        <v>664</v>
      </c>
      <c r="F90" s="220" t="s">
        <v>381</v>
      </c>
      <c r="G90" s="720" t="s">
        <v>401</v>
      </c>
      <c r="H90" s="445">
        <f>I90+J90</f>
        <v>55000</v>
      </c>
      <c r="I90" s="445">
        <f>35000+20000</f>
        <v>55000</v>
      </c>
      <c r="J90" s="445"/>
      <c r="K90" s="445"/>
      <c r="L90" s="584">
        <f>'Дод.3'!H108</f>
        <v>55000</v>
      </c>
      <c r="M90" s="567">
        <f>L90-I90</f>
        <v>0</v>
      </c>
      <c r="N90" s="584"/>
      <c r="O90" s="484"/>
      <c r="P90" s="381"/>
      <c r="Q90" s="381"/>
      <c r="R90" s="381"/>
    </row>
    <row r="91" spans="2:18" s="474" customFormat="1" ht="62.25" customHeight="1">
      <c r="B91" s="453" t="s">
        <v>568</v>
      </c>
      <c r="C91" s="453"/>
      <c r="D91" s="453"/>
      <c r="E91" s="386" t="s">
        <v>256</v>
      </c>
      <c r="F91" s="304"/>
      <c r="G91" s="621"/>
      <c r="H91" s="447">
        <f>H92</f>
        <v>4678281</v>
      </c>
      <c r="I91" s="447">
        <f>I92</f>
        <v>3405277</v>
      </c>
      <c r="J91" s="447">
        <f>J92</f>
        <v>1273004</v>
      </c>
      <c r="K91" s="447">
        <f>K92</f>
        <v>728104</v>
      </c>
      <c r="L91" s="596"/>
      <c r="M91" s="565"/>
      <c r="N91" s="587"/>
      <c r="O91" s="578"/>
      <c r="P91" s="381"/>
      <c r="Q91" s="381"/>
      <c r="R91" s="381"/>
    </row>
    <row r="92" spans="2:18" s="474" customFormat="1" ht="62.25" customHeight="1">
      <c r="B92" s="453" t="s">
        <v>569</v>
      </c>
      <c r="C92" s="453"/>
      <c r="D92" s="453"/>
      <c r="E92" s="386" t="s">
        <v>256</v>
      </c>
      <c r="F92" s="304"/>
      <c r="G92" s="621"/>
      <c r="H92" s="447">
        <f>SUM(H93:H107)</f>
        <v>4678281</v>
      </c>
      <c r="I92" s="447">
        <f>SUM(I93:I107)</f>
        <v>3405277</v>
      </c>
      <c r="J92" s="447">
        <f>SUM(J93:J107)</f>
        <v>1273004</v>
      </c>
      <c r="K92" s="447">
        <f>SUM(K93:K107)</f>
        <v>728104</v>
      </c>
      <c r="L92" s="596"/>
      <c r="M92" s="565"/>
      <c r="N92" s="587"/>
      <c r="O92" s="578"/>
      <c r="P92" s="381"/>
      <c r="Q92" s="381"/>
      <c r="R92" s="381"/>
    </row>
    <row r="93" spans="1:18" s="474" customFormat="1" ht="85.5" customHeight="1">
      <c r="A93" s="51">
        <v>8800</v>
      </c>
      <c r="B93" s="942">
        <v>3719770</v>
      </c>
      <c r="C93" s="939">
        <v>9770</v>
      </c>
      <c r="D93" s="929" t="s">
        <v>194</v>
      </c>
      <c r="E93" s="937" t="s">
        <v>520</v>
      </c>
      <c r="F93" s="220" t="s">
        <v>382</v>
      </c>
      <c r="G93" s="720" t="s">
        <v>402</v>
      </c>
      <c r="H93" s="445">
        <f aca="true" t="shared" si="7" ref="H93:H106">I93+J93</f>
        <v>350000</v>
      </c>
      <c r="I93" s="747"/>
      <c r="J93" s="747">
        <v>350000</v>
      </c>
      <c r="K93" s="747">
        <v>350000</v>
      </c>
      <c r="L93" s="551"/>
      <c r="M93" s="567"/>
      <c r="N93" s="584"/>
      <c r="O93" s="484"/>
      <c r="P93" s="381"/>
      <c r="Q93" s="381"/>
      <c r="R93" s="381"/>
    </row>
    <row r="94" spans="1:18" s="474" customFormat="1" ht="100.5" customHeight="1">
      <c r="A94" s="272"/>
      <c r="B94" s="942"/>
      <c r="C94" s="939"/>
      <c r="D94" s="929"/>
      <c r="E94" s="937"/>
      <c r="F94" s="220" t="s">
        <v>767</v>
      </c>
      <c r="G94" s="720" t="s">
        <v>773</v>
      </c>
      <c r="H94" s="445">
        <f t="shared" si="7"/>
        <v>10000</v>
      </c>
      <c r="I94" s="747">
        <v>10000</v>
      </c>
      <c r="J94" s="747"/>
      <c r="K94" s="747"/>
      <c r="L94" s="584"/>
      <c r="M94" s="567"/>
      <c r="N94" s="584"/>
      <c r="O94" s="484"/>
      <c r="P94" s="381"/>
      <c r="Q94" s="381"/>
      <c r="R94" s="381"/>
    </row>
    <row r="95" spans="1:18" s="474" customFormat="1" ht="52.5" customHeight="1">
      <c r="A95" s="272"/>
      <c r="B95" s="942"/>
      <c r="C95" s="939"/>
      <c r="D95" s="929"/>
      <c r="E95" s="937"/>
      <c r="F95" s="220" t="s">
        <v>771</v>
      </c>
      <c r="G95" s="720" t="s">
        <v>772</v>
      </c>
      <c r="H95" s="445">
        <f t="shared" si="7"/>
        <v>124450</v>
      </c>
      <c r="I95" s="747">
        <f>80000+44450</f>
        <v>124450</v>
      </c>
      <c r="J95" s="747"/>
      <c r="K95" s="747"/>
      <c r="L95" s="584"/>
      <c r="M95" s="567"/>
      <c r="N95" s="584"/>
      <c r="O95" s="484"/>
      <c r="P95" s="381"/>
      <c r="Q95" s="381"/>
      <c r="R95" s="381"/>
    </row>
    <row r="96" spans="1:18" s="474" customFormat="1" ht="64.5" customHeight="1">
      <c r="A96" s="272"/>
      <c r="B96" s="942"/>
      <c r="C96" s="939"/>
      <c r="D96" s="929"/>
      <c r="E96" s="937"/>
      <c r="F96" s="220" t="s">
        <v>769</v>
      </c>
      <c r="G96" s="720" t="s">
        <v>774</v>
      </c>
      <c r="H96" s="445">
        <f t="shared" si="7"/>
        <v>9000</v>
      </c>
      <c r="I96" s="747">
        <v>9000</v>
      </c>
      <c r="J96" s="747"/>
      <c r="K96" s="747"/>
      <c r="L96" s="584"/>
      <c r="M96" s="567"/>
      <c r="N96" s="584"/>
      <c r="O96" s="484"/>
      <c r="P96" s="381"/>
      <c r="Q96" s="381"/>
      <c r="R96" s="381"/>
    </row>
    <row r="97" spans="1:18" s="474" customFormat="1" ht="67.5" customHeight="1">
      <c r="A97" s="272"/>
      <c r="B97" s="942"/>
      <c r="C97" s="939"/>
      <c r="D97" s="929"/>
      <c r="E97" s="937"/>
      <c r="F97" s="220" t="s">
        <v>383</v>
      </c>
      <c r="G97" s="720" t="s">
        <v>403</v>
      </c>
      <c r="H97" s="445">
        <f t="shared" si="7"/>
        <v>469000</v>
      </c>
      <c r="I97" s="747">
        <f>20000+25000+350000+40000</f>
        <v>435000</v>
      </c>
      <c r="J97" s="747">
        <v>34000</v>
      </c>
      <c r="K97" s="747">
        <v>34000</v>
      </c>
      <c r="L97" s="584"/>
      <c r="M97" s="567"/>
      <c r="N97" s="584"/>
      <c r="O97" s="484"/>
      <c r="P97" s="381"/>
      <c r="Q97" s="381"/>
      <c r="R97" s="381"/>
    </row>
    <row r="98" spans="1:18" s="474" customFormat="1" ht="57.75" customHeight="1">
      <c r="A98" s="272"/>
      <c r="B98" s="942"/>
      <c r="C98" s="939"/>
      <c r="D98" s="929"/>
      <c r="E98" s="937"/>
      <c r="F98" s="220" t="s">
        <v>718</v>
      </c>
      <c r="G98" s="720" t="s">
        <v>639</v>
      </c>
      <c r="H98" s="445">
        <f t="shared" si="7"/>
        <v>40000</v>
      </c>
      <c r="I98" s="747">
        <v>40000</v>
      </c>
      <c r="J98" s="747"/>
      <c r="K98" s="747"/>
      <c r="L98" s="584"/>
      <c r="M98" s="567"/>
      <c r="N98" s="584"/>
      <c r="O98" s="484"/>
      <c r="P98" s="381"/>
      <c r="Q98" s="381"/>
      <c r="R98" s="381"/>
    </row>
    <row r="99" spans="1:18" s="474" customFormat="1" ht="103.5" customHeight="1">
      <c r="A99" s="272"/>
      <c r="B99" s="942"/>
      <c r="C99" s="939"/>
      <c r="D99" s="929"/>
      <c r="E99" s="937"/>
      <c r="F99" s="220" t="s">
        <v>364</v>
      </c>
      <c r="G99" s="720" t="s">
        <v>404</v>
      </c>
      <c r="H99" s="445">
        <f t="shared" si="7"/>
        <v>240000</v>
      </c>
      <c r="I99" s="747"/>
      <c r="J99" s="747">
        <f>50000+90000+100000</f>
        <v>240000</v>
      </c>
      <c r="K99" s="747">
        <f>50000+90000+100000</f>
        <v>240000</v>
      </c>
      <c r="L99" s="584"/>
      <c r="M99" s="567"/>
      <c r="N99" s="584"/>
      <c r="O99" s="484"/>
      <c r="P99" s="381"/>
      <c r="Q99" s="381"/>
      <c r="R99" s="381"/>
    </row>
    <row r="100" spans="1:18" s="474" customFormat="1" ht="56.25" customHeight="1">
      <c r="A100" s="272"/>
      <c r="B100" s="942"/>
      <c r="C100" s="939"/>
      <c r="D100" s="929"/>
      <c r="E100" s="937"/>
      <c r="F100" s="220" t="s">
        <v>360</v>
      </c>
      <c r="G100" s="720" t="s">
        <v>387</v>
      </c>
      <c r="H100" s="445">
        <f t="shared" si="7"/>
        <v>46025</v>
      </c>
      <c r="I100" s="747">
        <f>30000+16025</f>
        <v>46025</v>
      </c>
      <c r="J100" s="747"/>
      <c r="K100" s="747"/>
      <c r="L100" s="584"/>
      <c r="M100" s="567"/>
      <c r="N100" s="584"/>
      <c r="O100" s="484"/>
      <c r="P100" s="381"/>
      <c r="Q100" s="381"/>
      <c r="R100" s="381"/>
    </row>
    <row r="101" spans="1:18" s="474" customFormat="1" ht="54.75" customHeight="1">
      <c r="A101" s="272"/>
      <c r="B101" s="942"/>
      <c r="C101" s="939"/>
      <c r="D101" s="929"/>
      <c r="E101" s="937"/>
      <c r="F101" s="220" t="s">
        <v>147</v>
      </c>
      <c r="G101" s="720" t="s">
        <v>148</v>
      </c>
      <c r="H101" s="445">
        <f t="shared" si="7"/>
        <v>40000</v>
      </c>
      <c r="I101" s="747">
        <f>20000+20000</f>
        <v>40000</v>
      </c>
      <c r="J101" s="747"/>
      <c r="K101" s="747"/>
      <c r="L101" s="584"/>
      <c r="M101" s="567"/>
      <c r="N101" s="584"/>
      <c r="O101" s="484"/>
      <c r="P101" s="381"/>
      <c r="Q101" s="381"/>
      <c r="R101" s="381"/>
    </row>
    <row r="102" spans="1:18" s="474" customFormat="1" ht="78.75" customHeight="1">
      <c r="A102" s="272"/>
      <c r="B102" s="942"/>
      <c r="C102" s="939"/>
      <c r="D102" s="929"/>
      <c r="E102" s="937"/>
      <c r="F102" s="746" t="s">
        <v>76</v>
      </c>
      <c r="G102" s="749" t="s">
        <v>77</v>
      </c>
      <c r="H102" s="445">
        <f t="shared" si="7"/>
        <v>544900</v>
      </c>
      <c r="I102" s="747"/>
      <c r="J102" s="747">
        <v>544900</v>
      </c>
      <c r="K102" s="747"/>
      <c r="L102" s="584"/>
      <c r="M102" s="567"/>
      <c r="N102" s="584"/>
      <c r="O102" s="484"/>
      <c r="P102" s="381"/>
      <c r="Q102" s="381"/>
      <c r="R102" s="381"/>
    </row>
    <row r="103" spans="1:18" s="474" customFormat="1" ht="76.5" customHeight="1" hidden="1">
      <c r="A103" s="272"/>
      <c r="B103" s="943"/>
      <c r="C103" s="940"/>
      <c r="D103" s="930"/>
      <c r="E103" s="938"/>
      <c r="F103" s="220"/>
      <c r="G103" s="720"/>
      <c r="H103" s="445"/>
      <c r="I103" s="747"/>
      <c r="J103" s="747"/>
      <c r="K103" s="747"/>
      <c r="L103" s="584"/>
      <c r="M103" s="567"/>
      <c r="N103" s="584"/>
      <c r="O103" s="484"/>
      <c r="P103" s="381"/>
      <c r="Q103" s="381"/>
      <c r="R103" s="381"/>
    </row>
    <row r="104" spans="1:18" s="474" customFormat="1" ht="87" customHeight="1">
      <c r="A104" s="272"/>
      <c r="B104" s="941">
        <v>3719800</v>
      </c>
      <c r="C104" s="941">
        <v>9800</v>
      </c>
      <c r="D104" s="928" t="s">
        <v>194</v>
      </c>
      <c r="E104" s="936" t="s">
        <v>531</v>
      </c>
      <c r="F104" s="220" t="s">
        <v>384</v>
      </c>
      <c r="G104" s="720" t="s">
        <v>405</v>
      </c>
      <c r="H104" s="445">
        <f t="shared" si="7"/>
        <v>2618482</v>
      </c>
      <c r="I104" s="747">
        <f>963449+415550-20000+1155379</f>
        <v>2514378</v>
      </c>
      <c r="J104" s="747">
        <f>79104+25000</f>
        <v>104104</v>
      </c>
      <c r="K104" s="747">
        <f>79104+25000</f>
        <v>104104</v>
      </c>
      <c r="L104" s="584">
        <f>'Дод.3'!H117</f>
        <v>2700802</v>
      </c>
      <c r="M104" s="567">
        <f>L104-I104-I107-I106-I105</f>
        <v>0</v>
      </c>
      <c r="N104" s="584">
        <f>'Дод.3'!M117</f>
        <v>104104</v>
      </c>
      <c r="O104" s="484">
        <f>N104-J104</f>
        <v>0</v>
      </c>
      <c r="P104" s="381"/>
      <c r="Q104" s="381"/>
      <c r="R104" s="381"/>
    </row>
    <row r="105" spans="1:18" s="474" customFormat="1" ht="66.75" customHeight="1">
      <c r="A105" s="272"/>
      <c r="B105" s="942"/>
      <c r="C105" s="942"/>
      <c r="D105" s="929"/>
      <c r="E105" s="937"/>
      <c r="F105" s="220" t="s">
        <v>79</v>
      </c>
      <c r="G105" s="720" t="s">
        <v>80</v>
      </c>
      <c r="H105" s="445">
        <f t="shared" si="7"/>
        <v>30000</v>
      </c>
      <c r="I105" s="747">
        <v>30000</v>
      </c>
      <c r="J105" s="747"/>
      <c r="K105" s="747"/>
      <c r="L105" s="584"/>
      <c r="M105" s="567"/>
      <c r="N105" s="584"/>
      <c r="O105" s="484"/>
      <c r="P105" s="381"/>
      <c r="Q105" s="381"/>
      <c r="R105" s="381"/>
    </row>
    <row r="106" spans="1:18" s="474" customFormat="1" ht="57.75" customHeight="1">
      <c r="A106" s="272"/>
      <c r="B106" s="942"/>
      <c r="C106" s="942"/>
      <c r="D106" s="929"/>
      <c r="E106" s="937"/>
      <c r="F106" s="220" t="s">
        <v>768</v>
      </c>
      <c r="G106" s="720" t="s">
        <v>407</v>
      </c>
      <c r="H106" s="445">
        <f t="shared" si="7"/>
        <v>106424</v>
      </c>
      <c r="I106" s="747">
        <f>50000-11000+67424</f>
        <v>106424</v>
      </c>
      <c r="J106" s="747"/>
      <c r="K106" s="747"/>
      <c r="L106" s="584"/>
      <c r="M106" s="567"/>
      <c r="N106" s="584"/>
      <c r="O106" s="484"/>
      <c r="P106" s="381"/>
      <c r="Q106" s="381"/>
      <c r="R106" s="381"/>
    </row>
    <row r="107" spans="1:18" s="474" customFormat="1" ht="49.5" customHeight="1">
      <c r="A107" s="272"/>
      <c r="B107" s="942"/>
      <c r="C107" s="944"/>
      <c r="D107" s="929"/>
      <c r="E107" s="937"/>
      <c r="F107" s="220" t="s">
        <v>145</v>
      </c>
      <c r="G107" s="720" t="s">
        <v>146</v>
      </c>
      <c r="H107" s="445">
        <f>I107+J107</f>
        <v>50000</v>
      </c>
      <c r="I107" s="747">
        <v>50000</v>
      </c>
      <c r="J107" s="747"/>
      <c r="K107" s="747"/>
      <c r="L107" s="584"/>
      <c r="M107" s="567"/>
      <c r="N107" s="584"/>
      <c r="O107" s="484"/>
      <c r="P107" s="381"/>
      <c r="Q107" s="381"/>
      <c r="R107" s="381"/>
    </row>
    <row r="108" spans="2:18" s="474" customFormat="1" ht="36.75" customHeight="1">
      <c r="B108" s="175" t="s">
        <v>980</v>
      </c>
      <c r="C108" s="175" t="s">
        <v>980</v>
      </c>
      <c r="D108" s="175" t="s">
        <v>408</v>
      </c>
      <c r="E108" s="273" t="s">
        <v>409</v>
      </c>
      <c r="F108" s="439" t="s">
        <v>980</v>
      </c>
      <c r="G108" s="624" t="s">
        <v>980</v>
      </c>
      <c r="H108" s="446">
        <f>I108+J108</f>
        <v>28243968</v>
      </c>
      <c r="I108" s="449">
        <f>I91++I87+I83+I80+I71+I65+I62+I52+I41+I20+I11</f>
        <v>18891969</v>
      </c>
      <c r="J108" s="449">
        <f>J91++J87+J83+J80+J71+J65+J62+J52+J41+J20+J11</f>
        <v>9351999</v>
      </c>
      <c r="K108" s="449">
        <f>K91++K87+K83+K80+K71+K65+K62+K52+K41+K20+K11</f>
        <v>8552749</v>
      </c>
      <c r="L108" s="595"/>
      <c r="M108" s="567"/>
      <c r="N108" s="584"/>
      <c r="O108" s="484"/>
      <c r="P108" s="381"/>
      <c r="Q108" s="381"/>
      <c r="R108" s="381"/>
    </row>
    <row r="109" spans="2:18" s="474" customFormat="1" ht="20.25" customHeight="1" hidden="1">
      <c r="B109" s="176"/>
      <c r="C109" s="176"/>
      <c r="D109" s="176"/>
      <c r="E109" s="169"/>
      <c r="F109" s="189"/>
      <c r="G109" s="189"/>
      <c r="H109" s="440"/>
      <c r="I109" s="240"/>
      <c r="J109" s="241"/>
      <c r="K109" s="241"/>
      <c r="L109" s="592"/>
      <c r="M109" s="565"/>
      <c r="N109" s="589"/>
      <c r="O109" s="484"/>
      <c r="P109" s="381"/>
      <c r="Q109" s="381"/>
      <c r="R109" s="381"/>
    </row>
    <row r="110" spans="2:18" s="474" customFormat="1" ht="20.25" customHeight="1">
      <c r="B110" s="191"/>
      <c r="C110" s="191"/>
      <c r="D110" s="191"/>
      <c r="E110" s="115"/>
      <c r="F110" s="192"/>
      <c r="G110" s="192"/>
      <c r="H110" s="441"/>
      <c r="I110" s="666"/>
      <c r="J110" s="193"/>
      <c r="K110" s="193"/>
      <c r="L110" s="592"/>
      <c r="M110" s="564"/>
      <c r="N110" s="582"/>
      <c r="O110" s="572"/>
      <c r="P110" s="381"/>
      <c r="Q110" s="381"/>
      <c r="R110" s="381"/>
    </row>
    <row r="111" spans="2:18" s="474" customFormat="1" ht="20.25">
      <c r="B111" s="191"/>
      <c r="C111" s="191"/>
      <c r="D111" s="191"/>
      <c r="E111" s="115" t="s">
        <v>820</v>
      </c>
      <c r="F111" s="192"/>
      <c r="G111" s="192"/>
      <c r="H111" s="441"/>
      <c r="I111" s="975" t="s">
        <v>208</v>
      </c>
      <c r="J111" s="976"/>
      <c r="K111" s="976"/>
      <c r="L111" s="592"/>
      <c r="M111" s="564"/>
      <c r="N111" s="582"/>
      <c r="O111" s="572"/>
      <c r="P111" s="381"/>
      <c r="Q111" s="381"/>
      <c r="R111" s="381"/>
    </row>
    <row r="112" spans="2:18" s="474" customFormat="1" ht="20.25">
      <c r="B112" s="170"/>
      <c r="C112" s="170"/>
      <c r="D112" s="170"/>
      <c r="E112" s="777"/>
      <c r="F112" s="777"/>
      <c r="G112" s="172"/>
      <c r="H112" s="170"/>
      <c r="I112" s="106"/>
      <c r="J112" s="193"/>
      <c r="K112" s="193"/>
      <c r="L112" s="582"/>
      <c r="M112" s="568"/>
      <c r="N112" s="582"/>
      <c r="O112" s="572"/>
      <c r="P112" s="381"/>
      <c r="Q112" s="381"/>
      <c r="R112" s="381"/>
    </row>
    <row r="113" spans="2:18" s="474" customFormat="1" ht="20.25">
      <c r="B113" s="170"/>
      <c r="C113" s="170"/>
      <c r="D113" s="170"/>
      <c r="E113" s="169"/>
      <c r="F113" s="189"/>
      <c r="G113" s="189"/>
      <c r="H113" s="440"/>
      <c r="I113" s="106"/>
      <c r="J113" s="193"/>
      <c r="K113" s="193"/>
      <c r="L113" s="582"/>
      <c r="M113" s="568"/>
      <c r="N113" s="582"/>
      <c r="O113" s="572"/>
      <c r="P113" s="381"/>
      <c r="Q113" s="381"/>
      <c r="R113" s="381"/>
    </row>
    <row r="114" spans="2:11" ht="20.25">
      <c r="B114" s="170"/>
      <c r="C114" s="170"/>
      <c r="D114" s="170"/>
      <c r="E114" s="169"/>
      <c r="F114" s="189"/>
      <c r="G114" s="189"/>
      <c r="H114" s="440"/>
      <c r="I114" s="172"/>
      <c r="J114" s="377"/>
      <c r="K114" s="377"/>
    </row>
    <row r="115" spans="2:14" ht="20.25">
      <c r="B115" s="170"/>
      <c r="C115" s="170"/>
      <c r="D115" s="191"/>
      <c r="E115" s="115"/>
      <c r="F115" s="192"/>
      <c r="G115" s="192"/>
      <c r="H115" s="441"/>
      <c r="I115" s="106"/>
      <c r="J115" s="193"/>
      <c r="K115" s="193"/>
      <c r="L115" s="590"/>
      <c r="M115" s="569"/>
      <c r="N115" s="590"/>
    </row>
    <row r="116" spans="2:16" ht="20.25">
      <c r="B116" s="170"/>
      <c r="C116" s="170"/>
      <c r="D116" s="191"/>
      <c r="E116" s="971"/>
      <c r="F116" s="971"/>
      <c r="G116" s="399"/>
      <c r="H116" s="399"/>
      <c r="I116" s="225"/>
      <c r="J116" s="264"/>
      <c r="K116" s="264"/>
      <c r="L116" s="591"/>
      <c r="M116" s="570"/>
      <c r="N116" s="591"/>
      <c r="O116" s="573"/>
      <c r="P116" s="383"/>
    </row>
    <row r="117" spans="2:18" s="190" customFormat="1" ht="40.5" customHeight="1">
      <c r="B117" s="170"/>
      <c r="C117" s="170"/>
      <c r="D117" s="170"/>
      <c r="E117" s="946"/>
      <c r="F117" s="946"/>
      <c r="G117" s="397"/>
      <c r="H117" s="442"/>
      <c r="I117" s="117"/>
      <c r="J117" s="117"/>
      <c r="K117" s="117"/>
      <c r="L117" s="530"/>
      <c r="M117" s="549"/>
      <c r="N117" s="530"/>
      <c r="O117" s="562"/>
      <c r="P117" s="385"/>
      <c r="Q117" s="381"/>
      <c r="R117" s="381"/>
    </row>
    <row r="118" spans="2:18" s="190" customFormat="1" ht="63" customHeight="1">
      <c r="B118" s="462"/>
      <c r="C118" s="462"/>
      <c r="D118" s="462"/>
      <c r="E118" s="946"/>
      <c r="F118" s="946"/>
      <c r="G118" s="397"/>
      <c r="H118" s="442"/>
      <c r="I118" s="117"/>
      <c r="J118" s="118"/>
      <c r="K118" s="118"/>
      <c r="L118" s="583"/>
      <c r="M118" s="565"/>
      <c r="N118" s="585"/>
      <c r="O118" s="579"/>
      <c r="P118" s="385"/>
      <c r="Q118" s="381"/>
      <c r="R118" s="381"/>
    </row>
    <row r="119" spans="2:18" s="190" customFormat="1" ht="59.25" customHeight="1">
      <c r="B119" s="462"/>
      <c r="C119" s="462"/>
      <c r="D119" s="462"/>
      <c r="E119" s="946"/>
      <c r="F119" s="946"/>
      <c r="G119" s="397"/>
      <c r="H119" s="442"/>
      <c r="I119" s="117"/>
      <c r="J119" s="118"/>
      <c r="K119" s="118"/>
      <c r="L119" s="583"/>
      <c r="M119" s="565"/>
      <c r="N119" s="585"/>
      <c r="O119" s="580"/>
      <c r="P119" s="385"/>
      <c r="Q119" s="381"/>
      <c r="R119" s="381"/>
    </row>
    <row r="120" spans="2:18" s="190" customFormat="1" ht="63" customHeight="1">
      <c r="B120" s="462"/>
      <c r="C120" s="462"/>
      <c r="D120" s="462"/>
      <c r="E120" s="946"/>
      <c r="F120" s="946"/>
      <c r="G120" s="397"/>
      <c r="H120" s="442"/>
      <c r="I120" s="117"/>
      <c r="J120" s="118"/>
      <c r="K120" s="118"/>
      <c r="L120" s="583"/>
      <c r="M120" s="565"/>
      <c r="N120" s="585"/>
      <c r="O120" s="580"/>
      <c r="P120" s="385"/>
      <c r="Q120" s="381"/>
      <c r="R120" s="381"/>
    </row>
    <row r="121" spans="2:18" s="190" customFormat="1" ht="80.25" customHeight="1">
      <c r="B121" s="462"/>
      <c r="C121" s="462"/>
      <c r="D121" s="462"/>
      <c r="E121" s="946"/>
      <c r="F121" s="946"/>
      <c r="G121" s="397"/>
      <c r="H121" s="442"/>
      <c r="I121" s="117"/>
      <c r="J121" s="97"/>
      <c r="K121" s="97"/>
      <c r="L121" s="583"/>
      <c r="M121" s="565"/>
      <c r="N121" s="585"/>
      <c r="O121" s="580"/>
      <c r="P121" s="385"/>
      <c r="Q121" s="381"/>
      <c r="R121" s="381"/>
    </row>
    <row r="122" spans="2:18" s="190" customFormat="1" ht="47.25" customHeight="1">
      <c r="B122" s="462"/>
      <c r="C122" s="462"/>
      <c r="D122" s="462"/>
      <c r="E122" s="946"/>
      <c r="F122" s="946"/>
      <c r="G122" s="397"/>
      <c r="H122" s="442"/>
      <c r="I122" s="117"/>
      <c r="J122" s="97"/>
      <c r="K122" s="97"/>
      <c r="L122" s="585"/>
      <c r="M122" s="567"/>
      <c r="N122" s="585"/>
      <c r="O122" s="580"/>
      <c r="P122" s="385"/>
      <c r="Q122" s="381"/>
      <c r="R122" s="381"/>
    </row>
    <row r="123" spans="2:18" s="190" customFormat="1" ht="55.5" customHeight="1">
      <c r="B123" s="462"/>
      <c r="C123" s="462"/>
      <c r="D123" s="462"/>
      <c r="E123" s="946"/>
      <c r="F123" s="946"/>
      <c r="G123" s="397"/>
      <c r="H123" s="442"/>
      <c r="I123" s="117"/>
      <c r="J123" s="118"/>
      <c r="K123" s="118"/>
      <c r="L123" s="583"/>
      <c r="M123" s="565"/>
      <c r="N123" s="585"/>
      <c r="O123" s="580"/>
      <c r="P123" s="385"/>
      <c r="Q123" s="381"/>
      <c r="R123" s="381"/>
    </row>
    <row r="124" spans="2:18" s="190" customFormat="1" ht="46.5" customHeight="1">
      <c r="B124" s="462"/>
      <c r="C124" s="462"/>
      <c r="D124" s="462"/>
      <c r="E124" s="946"/>
      <c r="F124" s="946"/>
      <c r="G124" s="397"/>
      <c r="H124" s="442"/>
      <c r="I124" s="117"/>
      <c r="J124" s="97"/>
      <c r="K124" s="97"/>
      <c r="L124" s="583"/>
      <c r="M124" s="565"/>
      <c r="N124" s="585"/>
      <c r="O124" s="580"/>
      <c r="P124" s="385"/>
      <c r="Q124" s="381"/>
      <c r="R124" s="381"/>
    </row>
    <row r="125" spans="2:18" s="190" customFormat="1" ht="56.25" customHeight="1">
      <c r="B125" s="462"/>
      <c r="C125" s="462"/>
      <c r="D125" s="462"/>
      <c r="E125" s="946"/>
      <c r="F125" s="946"/>
      <c r="G125" s="397"/>
      <c r="H125" s="442"/>
      <c r="I125" s="117"/>
      <c r="J125" s="97"/>
      <c r="K125" s="97"/>
      <c r="L125" s="583"/>
      <c r="M125" s="565"/>
      <c r="N125" s="585"/>
      <c r="O125" s="580"/>
      <c r="P125" s="385"/>
      <c r="Q125" s="381"/>
      <c r="R125" s="381"/>
    </row>
    <row r="126" spans="2:18" s="190" customFormat="1" ht="46.5" customHeight="1">
      <c r="B126" s="462"/>
      <c r="C126" s="462"/>
      <c r="D126" s="462"/>
      <c r="E126" s="946"/>
      <c r="F126" s="946"/>
      <c r="G126" s="397"/>
      <c r="H126" s="442"/>
      <c r="I126" s="117"/>
      <c r="J126" s="97"/>
      <c r="K126" s="97"/>
      <c r="L126" s="583"/>
      <c r="M126" s="565"/>
      <c r="N126" s="585"/>
      <c r="O126" s="580"/>
      <c r="P126" s="385"/>
      <c r="Q126" s="381"/>
      <c r="R126" s="381"/>
    </row>
    <row r="127" spans="2:18" s="190" customFormat="1" ht="58.5" customHeight="1">
      <c r="B127" s="462"/>
      <c r="C127" s="462"/>
      <c r="D127" s="462"/>
      <c r="E127" s="946"/>
      <c r="F127" s="946"/>
      <c r="G127" s="397"/>
      <c r="H127" s="442"/>
      <c r="I127" s="117"/>
      <c r="J127" s="97"/>
      <c r="K127" s="97"/>
      <c r="L127" s="583"/>
      <c r="M127" s="565"/>
      <c r="N127" s="585"/>
      <c r="O127" s="580"/>
      <c r="P127" s="385"/>
      <c r="Q127" s="381"/>
      <c r="R127" s="381"/>
    </row>
    <row r="128" spans="2:18" s="190" customFormat="1" ht="62.25" customHeight="1">
      <c r="B128" s="462"/>
      <c r="C128" s="462"/>
      <c r="D128" s="462"/>
      <c r="E128" s="946"/>
      <c r="F128" s="946"/>
      <c r="G128" s="397"/>
      <c r="H128" s="442"/>
      <c r="I128" s="117"/>
      <c r="J128" s="97"/>
      <c r="K128" s="97"/>
      <c r="L128" s="585"/>
      <c r="M128" s="567"/>
      <c r="N128" s="585"/>
      <c r="O128" s="580"/>
      <c r="P128" s="385"/>
      <c r="Q128" s="381"/>
      <c r="R128" s="381"/>
    </row>
    <row r="129" spans="2:18" s="190" customFormat="1" ht="62.25" customHeight="1">
      <c r="B129" s="462"/>
      <c r="C129" s="462"/>
      <c r="D129" s="462"/>
      <c r="E129" s="946"/>
      <c r="F129" s="946"/>
      <c r="G129" s="397"/>
      <c r="H129" s="442"/>
      <c r="I129" s="117"/>
      <c r="J129" s="97"/>
      <c r="K129" s="97"/>
      <c r="L129" s="583"/>
      <c r="M129" s="565"/>
      <c r="N129" s="585"/>
      <c r="O129" s="580"/>
      <c r="P129" s="385"/>
      <c r="Q129" s="381"/>
      <c r="R129" s="381"/>
    </row>
    <row r="130" spans="2:18" s="190" customFormat="1" ht="57.75" customHeight="1">
      <c r="B130" s="462"/>
      <c r="C130" s="462"/>
      <c r="D130" s="462"/>
      <c r="E130" s="946"/>
      <c r="F130" s="946"/>
      <c r="G130" s="397"/>
      <c r="H130" s="442"/>
      <c r="I130" s="117"/>
      <c r="J130" s="97"/>
      <c r="K130" s="97"/>
      <c r="L130" s="585"/>
      <c r="M130" s="567"/>
      <c r="N130" s="585"/>
      <c r="O130" s="579"/>
      <c r="P130" s="385"/>
      <c r="Q130" s="381"/>
      <c r="R130" s="381"/>
    </row>
    <row r="131" spans="2:18" s="190" customFormat="1" ht="45.75" customHeight="1">
      <c r="B131" s="462"/>
      <c r="C131" s="462"/>
      <c r="D131" s="462"/>
      <c r="E131" s="946"/>
      <c r="F131" s="946"/>
      <c r="G131" s="397"/>
      <c r="H131" s="442"/>
      <c r="I131" s="117"/>
      <c r="J131" s="97"/>
      <c r="K131" s="97"/>
      <c r="L131" s="585"/>
      <c r="M131" s="567"/>
      <c r="N131" s="585"/>
      <c r="O131" s="580"/>
      <c r="P131" s="385"/>
      <c r="Q131" s="381"/>
      <c r="R131" s="381"/>
    </row>
    <row r="132" spans="2:18" s="190" customFormat="1" ht="66" customHeight="1">
      <c r="B132" s="462"/>
      <c r="C132" s="462"/>
      <c r="D132" s="462"/>
      <c r="E132" s="946"/>
      <c r="F132" s="946"/>
      <c r="G132" s="397"/>
      <c r="H132" s="442"/>
      <c r="I132" s="117"/>
      <c r="J132" s="97"/>
      <c r="K132" s="97"/>
      <c r="L132" s="583"/>
      <c r="M132" s="565"/>
      <c r="N132" s="585"/>
      <c r="O132" s="580"/>
      <c r="P132" s="385"/>
      <c r="Q132" s="381"/>
      <c r="R132" s="381"/>
    </row>
    <row r="133" spans="2:18" s="190" customFormat="1" ht="35.25" customHeight="1">
      <c r="B133" s="462"/>
      <c r="C133" s="462"/>
      <c r="D133" s="462"/>
      <c r="E133" s="946"/>
      <c r="F133" s="946"/>
      <c r="G133" s="397"/>
      <c r="H133" s="442"/>
      <c r="I133" s="117"/>
      <c r="J133" s="97"/>
      <c r="K133" s="97"/>
      <c r="L133" s="583"/>
      <c r="M133" s="565"/>
      <c r="N133" s="585"/>
      <c r="O133" s="580"/>
      <c r="P133" s="385"/>
      <c r="Q133" s="381"/>
      <c r="R133" s="381"/>
    </row>
    <row r="134" spans="2:18" s="190" customFormat="1" ht="40.5" customHeight="1">
      <c r="B134" s="462"/>
      <c r="C134" s="462"/>
      <c r="D134" s="462"/>
      <c r="E134" s="946"/>
      <c r="F134" s="946"/>
      <c r="G134" s="397"/>
      <c r="H134" s="442"/>
      <c r="I134" s="117"/>
      <c r="J134" s="97"/>
      <c r="K134" s="97"/>
      <c r="L134" s="583"/>
      <c r="M134" s="565"/>
      <c r="N134" s="585"/>
      <c r="O134" s="580"/>
      <c r="P134" s="385"/>
      <c r="Q134" s="381"/>
      <c r="R134" s="381"/>
    </row>
    <row r="135" spans="2:18" s="190" customFormat="1" ht="38.25" customHeight="1">
      <c r="B135" s="462"/>
      <c r="C135" s="462"/>
      <c r="D135" s="462"/>
      <c r="E135" s="946"/>
      <c r="F135" s="946"/>
      <c r="G135" s="397"/>
      <c r="H135" s="442"/>
      <c r="I135" s="117"/>
      <c r="J135" s="97"/>
      <c r="K135" s="97"/>
      <c r="L135" s="583"/>
      <c r="M135" s="565"/>
      <c r="N135" s="585"/>
      <c r="O135" s="580"/>
      <c r="P135" s="385"/>
      <c r="Q135" s="381"/>
      <c r="R135" s="381"/>
    </row>
    <row r="136" spans="2:18" s="190" customFormat="1" ht="79.5" customHeight="1">
      <c r="B136" s="462"/>
      <c r="C136" s="462"/>
      <c r="D136" s="462"/>
      <c r="E136" s="946"/>
      <c r="F136" s="946"/>
      <c r="G136" s="397"/>
      <c r="H136" s="442"/>
      <c r="I136" s="117"/>
      <c r="J136" s="97"/>
      <c r="K136" s="97"/>
      <c r="L136" s="583"/>
      <c r="M136" s="565"/>
      <c r="N136" s="585"/>
      <c r="O136" s="580"/>
      <c r="P136" s="385"/>
      <c r="Q136" s="381"/>
      <c r="R136" s="381"/>
    </row>
    <row r="137" spans="2:18" s="190" customFormat="1" ht="44.25" customHeight="1">
      <c r="B137" s="462"/>
      <c r="C137" s="462"/>
      <c r="D137" s="462"/>
      <c r="E137" s="945"/>
      <c r="F137" s="945"/>
      <c r="G137" s="398"/>
      <c r="H137" s="402"/>
      <c r="I137" s="118"/>
      <c r="J137" s="97"/>
      <c r="K137" s="97"/>
      <c r="L137" s="583"/>
      <c r="M137" s="565"/>
      <c r="N137" s="585"/>
      <c r="O137" s="580"/>
      <c r="P137" s="385"/>
      <c r="Q137" s="381"/>
      <c r="R137" s="381"/>
    </row>
    <row r="138" spans="2:18" s="190" customFormat="1" ht="59.25" customHeight="1">
      <c r="B138" s="462"/>
      <c r="C138" s="462"/>
      <c r="D138" s="462"/>
      <c r="E138" s="945"/>
      <c r="F138" s="945"/>
      <c r="G138" s="398"/>
      <c r="H138" s="402"/>
      <c r="I138" s="118"/>
      <c r="J138" s="97"/>
      <c r="K138" s="97"/>
      <c r="L138" s="583"/>
      <c r="M138" s="565"/>
      <c r="N138" s="585"/>
      <c r="O138" s="580"/>
      <c r="P138" s="385"/>
      <c r="Q138" s="381"/>
      <c r="R138" s="381"/>
    </row>
    <row r="139" spans="2:18" s="190" customFormat="1" ht="57" customHeight="1">
      <c r="B139" s="462"/>
      <c r="C139" s="462"/>
      <c r="D139" s="462"/>
      <c r="E139" s="945"/>
      <c r="F139" s="945"/>
      <c r="G139" s="398"/>
      <c r="H139" s="402"/>
      <c r="I139" s="118"/>
      <c r="J139" s="97"/>
      <c r="K139" s="97"/>
      <c r="L139" s="583"/>
      <c r="M139" s="565"/>
      <c r="N139" s="585"/>
      <c r="O139" s="580"/>
      <c r="P139" s="385"/>
      <c r="Q139" s="381"/>
      <c r="R139" s="381"/>
    </row>
    <row r="140" spans="2:18" s="190" customFormat="1" ht="71.25" customHeight="1">
      <c r="B140" s="462"/>
      <c r="C140" s="462"/>
      <c r="D140" s="462"/>
      <c r="E140" s="945"/>
      <c r="F140" s="945"/>
      <c r="G140" s="398"/>
      <c r="H140" s="402"/>
      <c r="I140" s="118"/>
      <c r="J140" s="97"/>
      <c r="K140" s="97"/>
      <c r="L140" s="583"/>
      <c r="M140" s="565"/>
      <c r="N140" s="585"/>
      <c r="O140" s="580"/>
      <c r="P140" s="385"/>
      <c r="Q140" s="381"/>
      <c r="R140" s="381"/>
    </row>
    <row r="141" spans="2:18" s="190" customFormat="1" ht="42" customHeight="1">
      <c r="B141" s="462"/>
      <c r="C141" s="462"/>
      <c r="D141" s="462"/>
      <c r="E141" s="945"/>
      <c r="F141" s="945"/>
      <c r="G141" s="398"/>
      <c r="H141" s="402"/>
      <c r="I141" s="118"/>
      <c r="J141" s="97"/>
      <c r="K141" s="97"/>
      <c r="L141" s="583"/>
      <c r="M141" s="565"/>
      <c r="N141" s="585"/>
      <c r="O141" s="580"/>
      <c r="P141" s="385"/>
      <c r="Q141" s="381"/>
      <c r="R141" s="381"/>
    </row>
    <row r="142" spans="2:18" s="190" customFormat="1" ht="45" customHeight="1">
      <c r="B142" s="462"/>
      <c r="C142" s="462"/>
      <c r="D142" s="462"/>
      <c r="E142" s="946"/>
      <c r="F142" s="946"/>
      <c r="G142" s="397"/>
      <c r="H142" s="442"/>
      <c r="I142" s="117"/>
      <c r="J142" s="97"/>
      <c r="K142" s="97"/>
      <c r="L142" s="583"/>
      <c r="M142" s="565"/>
      <c r="N142" s="585"/>
      <c r="O142" s="580"/>
      <c r="P142" s="385"/>
      <c r="Q142" s="381"/>
      <c r="R142" s="381"/>
    </row>
    <row r="143" spans="2:18" s="190" customFormat="1" ht="42" customHeight="1">
      <c r="B143" s="462"/>
      <c r="C143" s="462"/>
      <c r="D143" s="462"/>
      <c r="E143" s="946"/>
      <c r="F143" s="946"/>
      <c r="G143" s="397"/>
      <c r="H143" s="442"/>
      <c r="I143" s="117"/>
      <c r="J143" s="97"/>
      <c r="K143" s="97"/>
      <c r="L143" s="583"/>
      <c r="M143" s="565"/>
      <c r="N143" s="585"/>
      <c r="O143" s="580"/>
      <c r="P143" s="385"/>
      <c r="Q143" s="381"/>
      <c r="R143" s="381"/>
    </row>
    <row r="144" spans="2:18" s="190" customFormat="1" ht="54.75" customHeight="1">
      <c r="B144" s="462"/>
      <c r="C144" s="462"/>
      <c r="D144" s="462"/>
      <c r="E144" s="945"/>
      <c r="F144" s="945"/>
      <c r="G144" s="398"/>
      <c r="H144" s="402"/>
      <c r="I144" s="118"/>
      <c r="J144" s="97"/>
      <c r="K144" s="97"/>
      <c r="L144" s="583"/>
      <c r="M144" s="565"/>
      <c r="N144" s="585"/>
      <c r="O144" s="580"/>
      <c r="P144" s="385"/>
      <c r="Q144" s="381"/>
      <c r="R144" s="381"/>
    </row>
    <row r="145" spans="2:18" s="190" customFormat="1" ht="42" customHeight="1">
      <c r="B145" s="462"/>
      <c r="C145" s="462"/>
      <c r="D145" s="462"/>
      <c r="E145" s="945"/>
      <c r="F145" s="945"/>
      <c r="G145" s="398"/>
      <c r="H145" s="402"/>
      <c r="I145" s="118"/>
      <c r="J145" s="97"/>
      <c r="K145" s="97"/>
      <c r="L145" s="583"/>
      <c r="M145" s="565"/>
      <c r="N145" s="585"/>
      <c r="O145" s="580"/>
      <c r="P145" s="385"/>
      <c r="Q145" s="381"/>
      <c r="R145" s="381"/>
    </row>
    <row r="146" spans="2:18" s="190" customFormat="1" ht="57.75" customHeight="1">
      <c r="B146" s="462"/>
      <c r="C146" s="462"/>
      <c r="D146" s="462"/>
      <c r="E146" s="945"/>
      <c r="F146" s="945"/>
      <c r="G146" s="398"/>
      <c r="H146" s="402"/>
      <c r="I146" s="118"/>
      <c r="J146" s="97"/>
      <c r="K146" s="97"/>
      <c r="L146" s="583"/>
      <c r="M146" s="565"/>
      <c r="N146" s="585"/>
      <c r="O146" s="580"/>
      <c r="P146" s="385"/>
      <c r="Q146" s="381"/>
      <c r="R146" s="381"/>
    </row>
    <row r="147" spans="2:18" s="190" customFormat="1" ht="50.25" customHeight="1">
      <c r="B147" s="462"/>
      <c r="C147" s="462"/>
      <c r="D147" s="462"/>
      <c r="E147" s="945"/>
      <c r="F147" s="945"/>
      <c r="G147" s="398"/>
      <c r="H147" s="402"/>
      <c r="I147" s="118"/>
      <c r="J147" s="97"/>
      <c r="K147" s="97"/>
      <c r="L147" s="583"/>
      <c r="M147" s="565"/>
      <c r="N147" s="585"/>
      <c r="O147" s="580"/>
      <c r="P147" s="385"/>
      <c r="Q147" s="381"/>
      <c r="R147" s="381"/>
    </row>
    <row r="148" spans="2:18" s="190" customFormat="1" ht="50.25" customHeight="1">
      <c r="B148" s="462"/>
      <c r="C148" s="462"/>
      <c r="D148" s="462"/>
      <c r="E148" s="945"/>
      <c r="F148" s="945"/>
      <c r="G148" s="398"/>
      <c r="H148" s="402"/>
      <c r="I148" s="118"/>
      <c r="J148" s="97"/>
      <c r="K148" s="97"/>
      <c r="L148" s="583"/>
      <c r="M148" s="565"/>
      <c r="N148" s="585"/>
      <c r="O148" s="580"/>
      <c r="P148" s="385"/>
      <c r="Q148" s="381"/>
      <c r="R148" s="381"/>
    </row>
    <row r="149" spans="2:18" s="190" customFormat="1" ht="50.25" customHeight="1">
      <c r="B149" s="462"/>
      <c r="C149" s="462"/>
      <c r="D149" s="462"/>
      <c r="E149" s="948"/>
      <c r="F149" s="948"/>
      <c r="G149" s="401"/>
      <c r="H149" s="401"/>
      <c r="I149" s="118"/>
      <c r="J149" s="97"/>
      <c r="K149" s="97"/>
      <c r="L149" s="583"/>
      <c r="M149" s="565"/>
      <c r="N149" s="585"/>
      <c r="O149" s="580"/>
      <c r="P149" s="385"/>
      <c r="Q149" s="381"/>
      <c r="R149" s="381"/>
    </row>
    <row r="150" spans="2:18" s="190" customFormat="1" ht="50.25" customHeight="1">
      <c r="B150" s="462"/>
      <c r="C150" s="462"/>
      <c r="D150" s="462"/>
      <c r="E150" s="948"/>
      <c r="F150" s="948"/>
      <c r="G150" s="401"/>
      <c r="H150" s="401"/>
      <c r="I150" s="118"/>
      <c r="J150" s="97"/>
      <c r="K150" s="97"/>
      <c r="L150" s="583"/>
      <c r="M150" s="565"/>
      <c r="N150" s="585"/>
      <c r="O150" s="580"/>
      <c r="P150" s="385"/>
      <c r="Q150" s="381"/>
      <c r="R150" s="381"/>
    </row>
    <row r="151" spans="2:18" s="190" customFormat="1" ht="50.25" customHeight="1">
      <c r="B151" s="462"/>
      <c r="C151" s="462"/>
      <c r="D151" s="462"/>
      <c r="E151" s="948"/>
      <c r="F151" s="948"/>
      <c r="G151" s="401"/>
      <c r="H151" s="401"/>
      <c r="I151" s="118"/>
      <c r="J151" s="97"/>
      <c r="K151" s="97"/>
      <c r="L151" s="583"/>
      <c r="M151" s="565"/>
      <c r="N151" s="585"/>
      <c r="O151" s="580"/>
      <c r="P151" s="385"/>
      <c r="Q151" s="381"/>
      <c r="R151" s="381"/>
    </row>
    <row r="152" spans="2:18" s="190" customFormat="1" ht="50.25" customHeight="1">
      <c r="B152" s="462"/>
      <c r="C152" s="462"/>
      <c r="D152" s="462"/>
      <c r="E152" s="949"/>
      <c r="F152" s="949"/>
      <c r="G152" s="402"/>
      <c r="H152" s="402"/>
      <c r="I152" s="118"/>
      <c r="J152" s="97"/>
      <c r="K152" s="97"/>
      <c r="L152" s="583"/>
      <c r="M152" s="565"/>
      <c r="N152" s="585"/>
      <c r="O152" s="579"/>
      <c r="P152" s="385"/>
      <c r="Q152" s="381"/>
      <c r="R152" s="381"/>
    </row>
    <row r="153" spans="2:18" s="190" customFormat="1" ht="20.25">
      <c r="B153" s="462"/>
      <c r="C153" s="462"/>
      <c r="D153" s="462"/>
      <c r="E153" s="947"/>
      <c r="F153" s="947"/>
      <c r="G153" s="400"/>
      <c r="H153" s="400"/>
      <c r="I153" s="118"/>
      <c r="J153" s="118"/>
      <c r="K153" s="118"/>
      <c r="L153" s="585"/>
      <c r="M153" s="567"/>
      <c r="N153" s="585"/>
      <c r="O153" s="581"/>
      <c r="P153" s="385"/>
      <c r="Q153" s="381"/>
      <c r="R153" s="381"/>
    </row>
    <row r="154" spans="5:16" ht="20.25">
      <c r="E154" s="87"/>
      <c r="F154" s="265"/>
      <c r="G154" s="265"/>
      <c r="H154" s="443"/>
      <c r="I154" s="245"/>
      <c r="J154" s="87"/>
      <c r="K154" s="87"/>
      <c r="L154" s="589"/>
      <c r="M154" s="571"/>
      <c r="N154" s="589"/>
      <c r="O154" s="580"/>
      <c r="P154" s="385"/>
    </row>
    <row r="155" spans="5:16" ht="20.25">
      <c r="E155" s="87"/>
      <c r="F155" s="265"/>
      <c r="G155" s="265"/>
      <c r="H155" s="443"/>
      <c r="I155" s="87"/>
      <c r="J155" s="87"/>
      <c r="K155" s="87"/>
      <c r="L155" s="589"/>
      <c r="M155" s="571"/>
      <c r="N155" s="589"/>
      <c r="O155" s="580"/>
      <c r="P155" s="383"/>
    </row>
    <row r="156" spans="5:16" ht="20.25">
      <c r="E156" s="87"/>
      <c r="F156" s="265"/>
      <c r="G156" s="265"/>
      <c r="H156" s="443"/>
      <c r="I156" s="87"/>
      <c r="J156" s="87"/>
      <c r="K156" s="87"/>
      <c r="L156" s="589"/>
      <c r="M156" s="571"/>
      <c r="N156" s="589"/>
      <c r="O156" s="580"/>
      <c r="P156" s="383"/>
    </row>
    <row r="157" spans="5:16" ht="20.25">
      <c r="E157" s="87"/>
      <c r="F157" s="265"/>
      <c r="G157" s="265"/>
      <c r="H157" s="443"/>
      <c r="I157" s="87"/>
      <c r="J157" s="87"/>
      <c r="K157" s="87"/>
      <c r="L157" s="589"/>
      <c r="M157" s="571"/>
      <c r="N157" s="589"/>
      <c r="O157" s="580"/>
      <c r="P157" s="383"/>
    </row>
    <row r="158" spans="5:16" ht="20.25">
      <c r="E158" s="87"/>
      <c r="F158" s="265"/>
      <c r="G158" s="265"/>
      <c r="H158" s="443"/>
      <c r="I158" s="87"/>
      <c r="J158" s="87"/>
      <c r="K158" s="87"/>
      <c r="L158" s="589"/>
      <c r="M158" s="571"/>
      <c r="N158" s="589"/>
      <c r="O158" s="580"/>
      <c r="P158" s="383"/>
    </row>
    <row r="159" spans="5:16" ht="20.25">
      <c r="E159" s="87"/>
      <c r="F159" s="265"/>
      <c r="G159" s="265"/>
      <c r="H159" s="443"/>
      <c r="I159" s="87"/>
      <c r="J159" s="87"/>
      <c r="K159" s="87"/>
      <c r="L159" s="589"/>
      <c r="M159" s="571"/>
      <c r="N159" s="589"/>
      <c r="O159" s="580"/>
      <c r="P159" s="383"/>
    </row>
    <row r="160" spans="5:16" ht="20.25">
      <c r="E160" s="87"/>
      <c r="F160" s="265"/>
      <c r="G160" s="265"/>
      <c r="H160" s="443"/>
      <c r="I160" s="87"/>
      <c r="J160" s="87"/>
      <c r="K160" s="87"/>
      <c r="L160" s="589"/>
      <c r="M160" s="571"/>
      <c r="N160" s="589"/>
      <c r="O160" s="580"/>
      <c r="P160" s="383"/>
    </row>
    <row r="161" spans="5:16" ht="20.25">
      <c r="E161" s="87"/>
      <c r="F161" s="265"/>
      <c r="G161" s="265"/>
      <c r="H161" s="443"/>
      <c r="I161" s="87"/>
      <c r="J161" s="87"/>
      <c r="K161" s="87"/>
      <c r="L161" s="589"/>
      <c r="M161" s="571"/>
      <c r="N161" s="589"/>
      <c r="O161" s="580"/>
      <c r="P161" s="383"/>
    </row>
    <row r="162" spans="5:16" ht="20.25">
      <c r="E162" s="87"/>
      <c r="F162" s="265"/>
      <c r="G162" s="265"/>
      <c r="H162" s="443"/>
      <c r="I162" s="87"/>
      <c r="J162" s="87"/>
      <c r="K162" s="87"/>
      <c r="L162" s="589"/>
      <c r="M162" s="571"/>
      <c r="N162" s="589"/>
      <c r="O162" s="580"/>
      <c r="P162" s="383"/>
    </row>
    <row r="163" spans="5:16" ht="20.25">
      <c r="E163" s="87"/>
      <c r="F163" s="265"/>
      <c r="G163" s="265"/>
      <c r="H163" s="443"/>
      <c r="I163" s="87"/>
      <c r="J163" s="87"/>
      <c r="K163" s="87"/>
      <c r="L163" s="589"/>
      <c r="M163" s="571"/>
      <c r="N163" s="589"/>
      <c r="O163" s="580"/>
      <c r="P163" s="383"/>
    </row>
    <row r="164" spans="5:16" ht="20.25">
      <c r="E164" s="87"/>
      <c r="F164" s="265"/>
      <c r="G164" s="265"/>
      <c r="H164" s="443"/>
      <c r="I164" s="87"/>
      <c r="J164" s="87"/>
      <c r="K164" s="87"/>
      <c r="L164" s="589"/>
      <c r="M164" s="571"/>
      <c r="N164" s="589"/>
      <c r="O164" s="580"/>
      <c r="P164" s="383"/>
    </row>
    <row r="165" spans="5:16" ht="20.25">
      <c r="E165" s="87"/>
      <c r="F165" s="265"/>
      <c r="G165" s="265"/>
      <c r="H165" s="443"/>
      <c r="I165" s="87"/>
      <c r="J165" s="87"/>
      <c r="K165" s="87"/>
      <c r="L165" s="589"/>
      <c r="M165" s="571"/>
      <c r="N165" s="589"/>
      <c r="O165" s="580"/>
      <c r="P165" s="383"/>
    </row>
  </sheetData>
  <sheetProtection/>
  <autoFilter ref="A10:W108"/>
  <mergeCells count="98">
    <mergeCell ref="E131:F131"/>
    <mergeCell ref="E128:F128"/>
    <mergeCell ref="E132:F132"/>
    <mergeCell ref="E138:F138"/>
    <mergeCell ref="E133:F133"/>
    <mergeCell ref="E136:F136"/>
    <mergeCell ref="E134:F134"/>
    <mergeCell ref="E135:F135"/>
    <mergeCell ref="E130:F130"/>
    <mergeCell ref="E129:F129"/>
    <mergeCell ref="I111:K111"/>
    <mergeCell ref="N33:N34"/>
    <mergeCell ref="E33:E34"/>
    <mergeCell ref="M33:M34"/>
    <mergeCell ref="O14:O16"/>
    <mergeCell ref="L14:L16"/>
    <mergeCell ref="N14:N16"/>
    <mergeCell ref="M14:M16"/>
    <mergeCell ref="E118:F118"/>
    <mergeCell ref="E117:F117"/>
    <mergeCell ref="E67:E68"/>
    <mergeCell ref="E17:E18"/>
    <mergeCell ref="E112:F112"/>
    <mergeCell ref="E116:F116"/>
    <mergeCell ref="E104:E107"/>
    <mergeCell ref="E127:F127"/>
    <mergeCell ref="E124:F124"/>
    <mergeCell ref="E123:F123"/>
    <mergeCell ref="E119:F119"/>
    <mergeCell ref="E122:F122"/>
    <mergeCell ref="E120:F120"/>
    <mergeCell ref="E121:F121"/>
    <mergeCell ref="E126:F126"/>
    <mergeCell ref="E125:F125"/>
    <mergeCell ref="J7:K8"/>
    <mergeCell ref="I7:I9"/>
    <mergeCell ref="E93:E103"/>
    <mergeCell ref="H7:H9"/>
    <mergeCell ref="G7:G9"/>
    <mergeCell ref="E14:E16"/>
    <mergeCell ref="F7:F9"/>
    <mergeCell ref="I1:K1"/>
    <mergeCell ref="I2:K2"/>
    <mergeCell ref="I3:K3"/>
    <mergeCell ref="I5:K5"/>
    <mergeCell ref="B4:F4"/>
    <mergeCell ref="C14:C16"/>
    <mergeCell ref="B14:B16"/>
    <mergeCell ref="E7:E9"/>
    <mergeCell ref="B7:B9"/>
    <mergeCell ref="C7:C9"/>
    <mergeCell ref="D7:D9"/>
    <mergeCell ref="D14:D16"/>
    <mergeCell ref="E153:F153"/>
    <mergeCell ref="E151:F151"/>
    <mergeCell ref="E148:F148"/>
    <mergeCell ref="E149:F149"/>
    <mergeCell ref="E150:F150"/>
    <mergeCell ref="E152:F152"/>
    <mergeCell ref="E147:F147"/>
    <mergeCell ref="E140:F140"/>
    <mergeCell ref="E146:F146"/>
    <mergeCell ref="E137:F137"/>
    <mergeCell ref="E144:F144"/>
    <mergeCell ref="E142:F142"/>
    <mergeCell ref="E143:F143"/>
    <mergeCell ref="E141:F141"/>
    <mergeCell ref="E145:F145"/>
    <mergeCell ref="E139:F139"/>
    <mergeCell ref="D93:D103"/>
    <mergeCell ref="C93:C103"/>
    <mergeCell ref="B104:B107"/>
    <mergeCell ref="B93:B103"/>
    <mergeCell ref="C104:C107"/>
    <mergeCell ref="D104:D107"/>
    <mergeCell ref="D67:D68"/>
    <mergeCell ref="C67:C68"/>
    <mergeCell ref="L33:L34"/>
    <mergeCell ref="D43:D47"/>
    <mergeCell ref="E43:E47"/>
    <mergeCell ref="L43:L47"/>
    <mergeCell ref="D33:D34"/>
    <mergeCell ref="B24:B26"/>
    <mergeCell ref="B22:B23"/>
    <mergeCell ref="B17:B18"/>
    <mergeCell ref="B67:B68"/>
    <mergeCell ref="B43:B47"/>
    <mergeCell ref="C43:C47"/>
    <mergeCell ref="B33:B34"/>
    <mergeCell ref="C33:C34"/>
    <mergeCell ref="C17:C18"/>
    <mergeCell ref="E22:E23"/>
    <mergeCell ref="C24:C26"/>
    <mergeCell ref="D24:D26"/>
    <mergeCell ref="E24:E26"/>
    <mergeCell ref="D17:D18"/>
    <mergeCell ref="C22:C23"/>
    <mergeCell ref="D22:D23"/>
  </mergeCells>
  <conditionalFormatting sqref="A54:A57 C54:D57 D51 D60:D61">
    <cfRule type="expression" priority="11" dxfId="0" stopIfTrue="1">
      <formula>LEN(A51)&gt;6</formula>
    </cfRule>
  </conditionalFormatting>
  <conditionalFormatting sqref="C56:D56">
    <cfRule type="expression" priority="1" dxfId="0" stopIfTrue="1">
      <formula>LEN(C56)&gt;6</formula>
    </cfRule>
  </conditionalFormatting>
  <printOptions/>
  <pageMargins left="0.7086614173228347" right="0.7086614173228347" top="0.43" bottom="0.52" header="0.31496062992125984" footer="0.31496062992125984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27"/>
  <sheetViews>
    <sheetView tabSelected="1" view="pageBreakPreview" zoomScale="60" zoomScaleNormal="75" zoomScalePageLayoutView="0" workbookViewId="0" topLeftCell="A7">
      <selection activeCell="O19" sqref="O19"/>
    </sheetView>
  </sheetViews>
  <sheetFormatPr defaultColWidth="9.00390625" defaultRowHeight="12.75"/>
  <cols>
    <col min="1" max="1" width="16.75390625" style="0" customWidth="1"/>
    <col min="2" max="2" width="17.625" style="0" customWidth="1"/>
    <col min="3" max="3" width="16.875" style="0" customWidth="1"/>
    <col min="4" max="4" width="69.00390625" style="0" customWidth="1"/>
    <col min="5" max="5" width="92.00390625" style="0" customWidth="1"/>
    <col min="6" max="6" width="16.75390625" style="0" customWidth="1"/>
    <col min="7" max="7" width="17.75390625" style="0" customWidth="1"/>
    <col min="8" max="8" width="18.875" style="0" customWidth="1"/>
    <col min="9" max="9" width="18.125" style="0" customWidth="1"/>
    <col min="10" max="10" width="18.125" style="742" customWidth="1"/>
    <col min="11" max="11" width="17.875" style="744" customWidth="1"/>
  </cols>
  <sheetData>
    <row r="1" spans="1:10" ht="18.75">
      <c r="A1" s="538"/>
      <c r="B1" s="538"/>
      <c r="C1" s="538"/>
      <c r="D1" s="538"/>
      <c r="E1" s="538"/>
      <c r="F1" s="538"/>
      <c r="H1" s="85" t="s">
        <v>441</v>
      </c>
      <c r="I1" s="85"/>
      <c r="J1" s="731"/>
    </row>
    <row r="2" spans="1:10" ht="18.75">
      <c r="A2" s="538"/>
      <c r="B2" s="538"/>
      <c r="C2" s="538"/>
      <c r="D2" s="538"/>
      <c r="E2" s="538"/>
      <c r="F2" s="538"/>
      <c r="H2" s="85" t="s">
        <v>547</v>
      </c>
      <c r="I2" s="85"/>
      <c r="J2" s="731"/>
    </row>
    <row r="3" spans="1:10" ht="18.75">
      <c r="A3" s="538"/>
      <c r="B3" s="538"/>
      <c r="C3" s="538"/>
      <c r="D3" s="538"/>
      <c r="E3" s="538"/>
      <c r="F3" s="538"/>
      <c r="H3" s="85" t="s">
        <v>69</v>
      </c>
      <c r="I3" s="85"/>
      <c r="J3" s="731"/>
    </row>
    <row r="4" spans="1:10" ht="15">
      <c r="A4" s="539"/>
      <c r="B4" s="539"/>
      <c r="C4" s="539"/>
      <c r="D4" s="539"/>
      <c r="E4" s="539"/>
      <c r="F4" s="539"/>
      <c r="G4" s="540"/>
      <c r="H4" s="540"/>
      <c r="I4" s="541"/>
      <c r="J4" s="732"/>
    </row>
    <row r="5" spans="1:10" ht="18.75">
      <c r="A5" s="984" t="s">
        <v>430</v>
      </c>
      <c r="B5" s="984"/>
      <c r="C5" s="984"/>
      <c r="D5" s="984"/>
      <c r="E5" s="984"/>
      <c r="F5" s="984"/>
      <c r="G5" s="984"/>
      <c r="H5" s="984"/>
      <c r="I5" s="984"/>
      <c r="J5" s="733"/>
    </row>
    <row r="6" spans="1:10" ht="18">
      <c r="A6" s="542"/>
      <c r="B6" s="542"/>
      <c r="C6" s="542"/>
      <c r="D6" s="542"/>
      <c r="E6" s="542"/>
      <c r="F6" s="542"/>
      <c r="G6" s="542"/>
      <c r="I6" s="543" t="s">
        <v>812</v>
      </c>
      <c r="J6" s="734"/>
    </row>
    <row r="7" spans="1:10" ht="18.75">
      <c r="A7" s="985" t="s">
        <v>431</v>
      </c>
      <c r="B7" s="985" t="s">
        <v>349</v>
      </c>
      <c r="C7" s="985" t="s">
        <v>989</v>
      </c>
      <c r="D7" s="987" t="s">
        <v>432</v>
      </c>
      <c r="E7" s="990" t="s">
        <v>433</v>
      </c>
      <c r="F7" s="990" t="s">
        <v>434</v>
      </c>
      <c r="G7" s="990" t="s">
        <v>435</v>
      </c>
      <c r="H7" s="990" t="s">
        <v>436</v>
      </c>
      <c r="I7" s="989" t="s">
        <v>437</v>
      </c>
      <c r="J7" s="735"/>
    </row>
    <row r="8" spans="1:10" ht="139.5" customHeight="1">
      <c r="A8" s="986"/>
      <c r="B8" s="986"/>
      <c r="C8" s="986"/>
      <c r="D8" s="988"/>
      <c r="E8" s="991"/>
      <c r="F8" s="991"/>
      <c r="G8" s="991"/>
      <c r="H8" s="991"/>
      <c r="I8" s="989"/>
      <c r="J8" s="735"/>
    </row>
    <row r="9" spans="1:10" ht="18.75">
      <c r="A9" s="601" t="s">
        <v>438</v>
      </c>
      <c r="B9" s="601" t="s">
        <v>439</v>
      </c>
      <c r="C9" s="601" t="s">
        <v>440</v>
      </c>
      <c r="D9" s="602">
        <v>4</v>
      </c>
      <c r="E9" s="550">
        <v>5</v>
      </c>
      <c r="F9" s="550">
        <v>6</v>
      </c>
      <c r="G9" s="550">
        <v>7</v>
      </c>
      <c r="H9" s="550">
        <v>8</v>
      </c>
      <c r="I9" s="600">
        <v>9</v>
      </c>
      <c r="J9" s="736"/>
    </row>
    <row r="10" spans="1:10" ht="33" customHeight="1">
      <c r="A10" s="452" t="s">
        <v>837</v>
      </c>
      <c r="B10" s="452"/>
      <c r="C10" s="452"/>
      <c r="D10" s="705" t="s">
        <v>917</v>
      </c>
      <c r="E10" s="452"/>
      <c r="F10" s="452"/>
      <c r="G10" s="706">
        <f>G11</f>
        <v>304677</v>
      </c>
      <c r="H10" s="706">
        <f>H11</f>
        <v>304677</v>
      </c>
      <c r="I10" s="452"/>
      <c r="J10" s="737"/>
    </row>
    <row r="11" spans="1:10" ht="30" customHeight="1">
      <c r="A11" s="453" t="s">
        <v>836</v>
      </c>
      <c r="B11" s="453"/>
      <c r="C11" s="453"/>
      <c r="D11" s="599" t="s">
        <v>917</v>
      </c>
      <c r="E11" s="452"/>
      <c r="F11" s="452"/>
      <c r="G11" s="706">
        <f>G12</f>
        <v>304677</v>
      </c>
      <c r="H11" s="706">
        <f>H12</f>
        <v>304677</v>
      </c>
      <c r="I11" s="452"/>
      <c r="J11" s="737"/>
    </row>
    <row r="12" spans="1:11" ht="59.25" customHeight="1">
      <c r="A12" s="455" t="s">
        <v>214</v>
      </c>
      <c r="B12" s="455" t="s">
        <v>215</v>
      </c>
      <c r="C12" s="455" t="s">
        <v>650</v>
      </c>
      <c r="D12" s="544" t="s">
        <v>216</v>
      </c>
      <c r="E12" s="729" t="s">
        <v>776</v>
      </c>
      <c r="F12" s="664"/>
      <c r="G12" s="663">
        <f>200000+104677</f>
        <v>304677</v>
      </c>
      <c r="H12" s="663">
        <f>200000+104677</f>
        <v>304677</v>
      </c>
      <c r="I12" s="665"/>
      <c r="J12" s="738">
        <f>K12-H12</f>
        <v>0</v>
      </c>
      <c r="K12" s="745">
        <f>'Дод.3'!M17</f>
        <v>304677</v>
      </c>
    </row>
    <row r="13" spans="1:10" ht="45" customHeight="1" hidden="1">
      <c r="A13" s="601"/>
      <c r="B13" s="601"/>
      <c r="C13" s="601"/>
      <c r="D13" s="602"/>
      <c r="E13" s="550"/>
      <c r="F13" s="550"/>
      <c r="G13" s="550"/>
      <c r="H13" s="550"/>
      <c r="I13" s="600"/>
      <c r="J13" s="736"/>
    </row>
    <row r="14" spans="1:10" ht="41.25" customHeight="1">
      <c r="A14" s="453" t="s">
        <v>96</v>
      </c>
      <c r="B14" s="453"/>
      <c r="C14" s="453"/>
      <c r="D14" s="599" t="s">
        <v>918</v>
      </c>
      <c r="E14" s="456"/>
      <c r="F14" s="603"/>
      <c r="G14" s="603">
        <f>G15</f>
        <v>710860</v>
      </c>
      <c r="H14" s="603">
        <f>H15</f>
        <v>710860</v>
      </c>
      <c r="I14" s="603"/>
      <c r="J14" s="739"/>
    </row>
    <row r="15" spans="1:10" ht="36" customHeight="1">
      <c r="A15" s="453" t="s">
        <v>97</v>
      </c>
      <c r="B15" s="453"/>
      <c r="C15" s="453"/>
      <c r="D15" s="599" t="s">
        <v>918</v>
      </c>
      <c r="E15" s="456"/>
      <c r="F15" s="603"/>
      <c r="G15" s="603">
        <f>G18+G16+G17</f>
        <v>710860</v>
      </c>
      <c r="H15" s="603">
        <f>H18+H16+H17</f>
        <v>710860</v>
      </c>
      <c r="I15" s="603"/>
      <c r="J15" s="739"/>
    </row>
    <row r="16" spans="1:11" ht="84" customHeight="1">
      <c r="A16" s="922" t="s">
        <v>961</v>
      </c>
      <c r="B16" s="922" t="s">
        <v>962</v>
      </c>
      <c r="C16" s="922" t="s">
        <v>650</v>
      </c>
      <c r="D16" s="925" t="s">
        <v>963</v>
      </c>
      <c r="E16" s="704" t="s">
        <v>0</v>
      </c>
      <c r="F16" s="702"/>
      <c r="G16" s="702">
        <f>121060+240000-110000+250000</f>
        <v>501060</v>
      </c>
      <c r="H16" s="702">
        <f>121060+240000-110000+250000</f>
        <v>501060</v>
      </c>
      <c r="I16" s="374"/>
      <c r="J16" s="979">
        <f>K16-H16-H17</f>
        <v>0</v>
      </c>
      <c r="K16" s="977">
        <f>'Дод.3'!M33</f>
        <v>611060</v>
      </c>
    </row>
    <row r="17" spans="1:11" ht="86.25" customHeight="1">
      <c r="A17" s="924"/>
      <c r="B17" s="924"/>
      <c r="C17" s="924"/>
      <c r="D17" s="927"/>
      <c r="E17" s="704" t="s">
        <v>229</v>
      </c>
      <c r="F17" s="702"/>
      <c r="G17" s="702">
        <v>110000</v>
      </c>
      <c r="H17" s="702">
        <v>110000</v>
      </c>
      <c r="I17" s="374"/>
      <c r="J17" s="979"/>
      <c r="K17" s="978"/>
    </row>
    <row r="18" spans="1:11" ht="62.25" customHeight="1">
      <c r="A18" s="455" t="s">
        <v>620</v>
      </c>
      <c r="B18" s="455" t="s">
        <v>621</v>
      </c>
      <c r="C18" s="455" t="s">
        <v>663</v>
      </c>
      <c r="D18" s="544" t="s">
        <v>622</v>
      </c>
      <c r="E18" s="625" t="s">
        <v>964</v>
      </c>
      <c r="F18" s="550"/>
      <c r="G18" s="609">
        <v>99800</v>
      </c>
      <c r="H18" s="609">
        <v>99800</v>
      </c>
      <c r="I18" s="600"/>
      <c r="J18" s="743">
        <f>K18-H18</f>
        <v>0</v>
      </c>
      <c r="K18" s="745">
        <f>'Дод.3'!M34</f>
        <v>99800</v>
      </c>
    </row>
    <row r="19" spans="1:10" ht="58.5" customHeight="1">
      <c r="A19" s="453" t="s">
        <v>604</v>
      </c>
      <c r="B19" s="456"/>
      <c r="C19" s="456"/>
      <c r="D19" s="599" t="s">
        <v>528</v>
      </c>
      <c r="E19" s="456"/>
      <c r="F19" s="603"/>
      <c r="G19" s="603">
        <f>G20</f>
        <v>515000</v>
      </c>
      <c r="H19" s="603">
        <f>H20</f>
        <v>515000</v>
      </c>
      <c r="I19" s="603"/>
      <c r="J19" s="739"/>
    </row>
    <row r="20" spans="1:10" ht="61.5" customHeight="1">
      <c r="A20" s="453" t="s">
        <v>605</v>
      </c>
      <c r="B20" s="453"/>
      <c r="C20" s="453"/>
      <c r="D20" s="599" t="s">
        <v>528</v>
      </c>
      <c r="E20" s="456"/>
      <c r="F20" s="603"/>
      <c r="G20" s="603">
        <f>G21+G22</f>
        <v>515000</v>
      </c>
      <c r="H20" s="603">
        <f>H21+H22</f>
        <v>515000</v>
      </c>
      <c r="I20" s="603"/>
      <c r="J20" s="739"/>
    </row>
    <row r="21" spans="1:11" ht="45" customHeight="1">
      <c r="A21" s="928" t="s">
        <v>424</v>
      </c>
      <c r="B21" s="928" t="s">
        <v>425</v>
      </c>
      <c r="C21" s="928" t="s">
        <v>663</v>
      </c>
      <c r="D21" s="982" t="s">
        <v>426</v>
      </c>
      <c r="E21" s="604" t="s">
        <v>442</v>
      </c>
      <c r="F21" s="605"/>
      <c r="G21" s="91">
        <v>500000</v>
      </c>
      <c r="H21" s="91">
        <v>500000</v>
      </c>
      <c r="I21" s="605"/>
      <c r="J21" s="981">
        <f>K21-H21-H22</f>
        <v>0</v>
      </c>
      <c r="K21" s="980">
        <f>'Дод.3'!M46</f>
        <v>515000</v>
      </c>
    </row>
    <row r="22" spans="1:11" ht="67.5" customHeight="1">
      <c r="A22" s="930"/>
      <c r="B22" s="930"/>
      <c r="C22" s="930"/>
      <c r="D22" s="983"/>
      <c r="E22" s="661" t="s">
        <v>984</v>
      </c>
      <c r="F22" s="662"/>
      <c r="G22" s="91">
        <v>15000</v>
      </c>
      <c r="H22" s="91">
        <v>15000</v>
      </c>
      <c r="I22" s="605"/>
      <c r="J22" s="981"/>
      <c r="K22" s="980"/>
    </row>
    <row r="23" spans="1:10" ht="18.75">
      <c r="A23" s="606" t="s">
        <v>980</v>
      </c>
      <c r="B23" s="606" t="s">
        <v>980</v>
      </c>
      <c r="C23" s="606" t="s">
        <v>980</v>
      </c>
      <c r="D23" s="607" t="s">
        <v>409</v>
      </c>
      <c r="E23" s="730" t="s">
        <v>980</v>
      </c>
      <c r="F23" s="730" t="s">
        <v>980</v>
      </c>
      <c r="G23" s="446" t="s">
        <v>980</v>
      </c>
      <c r="H23" s="446">
        <f>H14+H19+H10</f>
        <v>1530537</v>
      </c>
      <c r="I23" s="446" t="s">
        <v>980</v>
      </c>
      <c r="J23" s="740"/>
    </row>
    <row r="24" spans="2:10" ht="28.5" customHeight="1">
      <c r="B24" s="306"/>
      <c r="C24" s="306"/>
      <c r="D24" s="307"/>
      <c r="E24" s="307"/>
      <c r="F24" s="307"/>
      <c r="G24" s="307"/>
      <c r="H24" s="306"/>
      <c r="I24" s="306"/>
      <c r="J24" s="741"/>
    </row>
    <row r="25" spans="2:11" ht="18.75">
      <c r="B25" s="306"/>
      <c r="C25" s="306"/>
      <c r="D25" s="115" t="s">
        <v>820</v>
      </c>
      <c r="E25" s="192"/>
      <c r="F25" s="192"/>
      <c r="G25" s="441"/>
      <c r="H25" s="975" t="s">
        <v>208</v>
      </c>
      <c r="I25" s="976"/>
      <c r="J25" s="976"/>
      <c r="K25" s="976"/>
    </row>
    <row r="26" ht="18">
      <c r="H26" s="719">
        <f>'Дод.3'!M34+'Дод.3'!M46+'Дод.3'!S33+'Дод.3'!S17+'Дод.3'!M45</f>
        <v>1530537</v>
      </c>
    </row>
    <row r="27" ht="20.25">
      <c r="H27" s="608">
        <f>H26-H23</f>
        <v>0</v>
      </c>
    </row>
  </sheetData>
  <sheetProtection/>
  <mergeCells count="23">
    <mergeCell ref="A21:A22"/>
    <mergeCell ref="B21:B22"/>
    <mergeCell ref="C21:C22"/>
    <mergeCell ref="A16:A17"/>
    <mergeCell ref="B16:B17"/>
    <mergeCell ref="C16:C17"/>
    <mergeCell ref="A5:I5"/>
    <mergeCell ref="A7:A8"/>
    <mergeCell ref="B7:B8"/>
    <mergeCell ref="C7:C8"/>
    <mergeCell ref="D7:D8"/>
    <mergeCell ref="I7:I8"/>
    <mergeCell ref="H7:H8"/>
    <mergeCell ref="E7:E8"/>
    <mergeCell ref="F7:F8"/>
    <mergeCell ref="G7:G8"/>
    <mergeCell ref="H25:K25"/>
    <mergeCell ref="D16:D17"/>
    <mergeCell ref="K16:K17"/>
    <mergeCell ref="J16:J17"/>
    <mergeCell ref="K21:K22"/>
    <mergeCell ref="J21:J22"/>
    <mergeCell ref="D21:D22"/>
  </mergeCells>
  <printOptions/>
  <pageMargins left="0.7" right="0.7" top="0.75" bottom="0.75" header="0.3" footer="0.3"/>
  <pageSetup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 topLeftCell="A13">
      <selection activeCell="F18" sqref="F18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21.125" style="0" customWidth="1"/>
    <col min="4" max="4" width="17.625" style="0" customWidth="1"/>
  </cols>
  <sheetData>
    <row r="1" spans="3:4" ht="12.75">
      <c r="C1" s="798" t="s">
        <v>879</v>
      </c>
      <c r="D1" s="798"/>
    </row>
    <row r="2" spans="3:4" ht="12.75">
      <c r="C2" s="798" t="str">
        <f>'Дод.1'!D2</f>
        <v>до рішення  районної ради  </v>
      </c>
      <c r="D2" s="798"/>
    </row>
    <row r="3" spans="3:4" ht="12.75">
      <c r="C3" s="993" t="str">
        <f>'Дод.1'!D3</f>
        <v>від                            №  </v>
      </c>
      <c r="D3" s="993"/>
    </row>
    <row r="4" spans="3:4" ht="12.75">
      <c r="C4" s="303"/>
      <c r="D4" s="303"/>
    </row>
    <row r="5" spans="3:4" ht="12.75">
      <c r="C5" s="303"/>
      <c r="D5" s="303"/>
    </row>
    <row r="6" spans="1:6" ht="39" customHeight="1">
      <c r="A6" s="992" t="s">
        <v>552</v>
      </c>
      <c r="B6" s="992"/>
      <c r="C6" s="992"/>
      <c r="D6" s="992"/>
      <c r="E6" s="187"/>
      <c r="F6" s="187"/>
    </row>
    <row r="7" spans="1:4" ht="20.25">
      <c r="A7" s="235"/>
      <c r="B7" s="235"/>
      <c r="C7" s="235"/>
      <c r="D7" s="536" t="s">
        <v>85</v>
      </c>
    </row>
    <row r="8" spans="1:4" ht="51.75" customHeight="1">
      <c r="A8" s="134" t="s">
        <v>209</v>
      </c>
      <c r="B8" s="134" t="s">
        <v>210</v>
      </c>
      <c r="C8" s="352" t="s">
        <v>211</v>
      </c>
      <c r="D8" s="352" t="s">
        <v>212</v>
      </c>
    </row>
    <row r="9" spans="1:4" ht="19.5" customHeight="1">
      <c r="A9" s="482" t="s">
        <v>327</v>
      </c>
      <c r="B9" s="356" t="s">
        <v>279</v>
      </c>
      <c r="C9" s="316">
        <v>3166774</v>
      </c>
      <c r="D9" s="366">
        <v>795249</v>
      </c>
    </row>
    <row r="10" spans="1:4" ht="19.5" customHeight="1">
      <c r="A10" s="482" t="s">
        <v>328</v>
      </c>
      <c r="B10" s="355" t="s">
        <v>34</v>
      </c>
      <c r="C10" s="316">
        <v>406579</v>
      </c>
      <c r="D10" s="366">
        <v>307268</v>
      </c>
    </row>
    <row r="11" spans="1:4" ht="19.5" customHeight="1">
      <c r="A11" s="482" t="s">
        <v>329</v>
      </c>
      <c r="B11" s="356" t="s">
        <v>36</v>
      </c>
      <c r="C11" s="316">
        <v>200325</v>
      </c>
      <c r="D11" s="366">
        <v>496559</v>
      </c>
    </row>
    <row r="12" spans="1:4" ht="19.5" customHeight="1">
      <c r="A12" s="482" t="s">
        <v>330</v>
      </c>
      <c r="B12" s="356" t="s">
        <v>504</v>
      </c>
      <c r="C12" s="316">
        <v>2686712</v>
      </c>
      <c r="D12" s="366">
        <v>888565</v>
      </c>
    </row>
    <row r="13" spans="1:4" ht="19.5" customHeight="1">
      <c r="A13" s="482" t="s">
        <v>331</v>
      </c>
      <c r="B13" s="356" t="s">
        <v>505</v>
      </c>
      <c r="C13" s="316">
        <v>117994</v>
      </c>
      <c r="D13" s="366">
        <v>222964</v>
      </c>
    </row>
    <row r="14" spans="1:4" ht="19.5" customHeight="1">
      <c r="A14" s="482" t="s">
        <v>332</v>
      </c>
      <c r="B14" s="355" t="s">
        <v>280</v>
      </c>
      <c r="C14" s="316">
        <v>174284</v>
      </c>
      <c r="D14" s="366">
        <v>88154</v>
      </c>
    </row>
    <row r="15" spans="1:4" ht="19.5" customHeight="1">
      <c r="A15" s="482" t="s">
        <v>333</v>
      </c>
      <c r="B15" s="356" t="s">
        <v>281</v>
      </c>
      <c r="C15" s="316">
        <v>133631</v>
      </c>
      <c r="D15" s="366">
        <v>81957</v>
      </c>
    </row>
    <row r="16" spans="1:4" ht="19.5" customHeight="1">
      <c r="A16" s="482" t="s">
        <v>334</v>
      </c>
      <c r="B16" s="356" t="s">
        <v>282</v>
      </c>
      <c r="C16" s="316">
        <v>329467</v>
      </c>
      <c r="D16" s="366">
        <v>451445</v>
      </c>
    </row>
    <row r="17" spans="1:4" ht="19.5" customHeight="1">
      <c r="A17" s="482" t="s">
        <v>335</v>
      </c>
      <c r="B17" s="356" t="s">
        <v>283</v>
      </c>
      <c r="C17" s="316">
        <v>125029</v>
      </c>
      <c r="D17" s="366">
        <v>410421</v>
      </c>
    </row>
    <row r="18" spans="1:4" ht="19.5" customHeight="1">
      <c r="A18" s="482" t="s">
        <v>336</v>
      </c>
      <c r="B18" s="365" t="s">
        <v>284</v>
      </c>
      <c r="C18" s="316">
        <v>2283807</v>
      </c>
      <c r="D18" s="366">
        <v>650051</v>
      </c>
    </row>
    <row r="19" spans="1:4" ht="19.5" customHeight="1">
      <c r="A19" s="482" t="s">
        <v>337</v>
      </c>
      <c r="B19" s="355" t="s">
        <v>285</v>
      </c>
      <c r="C19" s="316">
        <v>93336</v>
      </c>
      <c r="D19" s="366">
        <v>218428</v>
      </c>
    </row>
    <row r="20" spans="1:4" ht="19.5" customHeight="1">
      <c r="A20" s="482" t="s">
        <v>338</v>
      </c>
      <c r="B20" s="356" t="s">
        <v>286</v>
      </c>
      <c r="C20" s="316">
        <v>144580</v>
      </c>
      <c r="D20" s="366">
        <v>235304</v>
      </c>
    </row>
    <row r="21" spans="1:4" ht="19.5" customHeight="1">
      <c r="A21" s="482" t="s">
        <v>339</v>
      </c>
      <c r="B21" s="356" t="s">
        <v>262</v>
      </c>
      <c r="C21" s="316">
        <v>83531</v>
      </c>
      <c r="D21" s="366">
        <v>198991</v>
      </c>
    </row>
    <row r="22" spans="1:4" ht="19.5" customHeight="1">
      <c r="A22" s="482" t="s">
        <v>340</v>
      </c>
      <c r="B22" s="356" t="s">
        <v>288</v>
      </c>
      <c r="C22" s="316">
        <v>1806919</v>
      </c>
      <c r="D22" s="366">
        <v>196684</v>
      </c>
    </row>
    <row r="23" spans="1:4" ht="19.5" customHeight="1">
      <c r="A23" s="482" t="s">
        <v>341</v>
      </c>
      <c r="B23" s="365" t="s">
        <v>289</v>
      </c>
      <c r="C23" s="316">
        <v>2349354</v>
      </c>
      <c r="D23" s="366">
        <v>474888</v>
      </c>
    </row>
    <row r="24" spans="1:4" ht="19.5" customHeight="1">
      <c r="A24" s="482" t="s">
        <v>260</v>
      </c>
      <c r="B24" s="355" t="s">
        <v>498</v>
      </c>
      <c r="C24" s="316">
        <v>1219287</v>
      </c>
      <c r="D24" s="366">
        <v>456240</v>
      </c>
    </row>
    <row r="25" spans="1:4" ht="19.5" customHeight="1">
      <c r="A25" s="482" t="s">
        <v>261</v>
      </c>
      <c r="B25" s="356" t="s">
        <v>499</v>
      </c>
      <c r="C25" s="316">
        <v>16087890</v>
      </c>
      <c r="D25" s="366">
        <v>1252486</v>
      </c>
    </row>
    <row r="26" spans="1:4" ht="19.5" customHeight="1">
      <c r="A26" s="353"/>
      <c r="B26" s="354" t="s">
        <v>33</v>
      </c>
      <c r="C26" s="313">
        <f>SUM(C9:C25)</f>
        <v>31409499</v>
      </c>
      <c r="D26" s="313">
        <f>SUM(D9:D25)</f>
        <v>7425654</v>
      </c>
    </row>
    <row r="27" spans="1:4" s="87" customFormat="1" ht="15.75" customHeight="1">
      <c r="A27" s="357"/>
      <c r="B27" s="358"/>
      <c r="C27" s="359"/>
      <c r="D27" s="360"/>
    </row>
    <row r="28" spans="1:4" s="87" customFormat="1" ht="15.75" customHeight="1">
      <c r="A28" s="357"/>
      <c r="B28" s="361"/>
      <c r="C28" s="362"/>
      <c r="D28" s="363"/>
    </row>
    <row r="29" spans="1:4" s="87" customFormat="1" ht="15.75" customHeight="1">
      <c r="A29" s="357"/>
      <c r="B29" s="364" t="s">
        <v>823</v>
      </c>
      <c r="C29" s="359"/>
      <c r="D29" s="360" t="s">
        <v>208</v>
      </c>
    </row>
    <row r="30" s="87" customFormat="1" ht="12.75" customHeight="1"/>
    <row r="31" s="87" customFormat="1" ht="12.75" customHeight="1"/>
    <row r="32" s="87" customFormat="1" ht="12.75" customHeight="1"/>
    <row r="33" s="87" customFormat="1" ht="12.75" customHeight="1"/>
  </sheetData>
  <sheetProtection/>
  <mergeCells count="4">
    <mergeCell ref="A6:D6"/>
    <mergeCell ref="C1:D1"/>
    <mergeCell ref="C2:D2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Tested</dc:creator>
  <cp:keywords/>
  <dc:description/>
  <cp:lastModifiedBy>пк 3</cp:lastModifiedBy>
  <cp:lastPrinted>2019-07-08T06:20:04Z</cp:lastPrinted>
  <dcterms:created xsi:type="dcterms:W3CDTF">2002-01-25T08:39:13Z</dcterms:created>
  <dcterms:modified xsi:type="dcterms:W3CDTF">2019-07-08T06:20:07Z</dcterms:modified>
  <cp:category/>
  <cp:version/>
  <cp:contentType/>
  <cp:contentStatus/>
</cp:coreProperties>
</file>