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55" windowWidth="20640" windowHeight="11355" tabRatio="760" activeTab="5"/>
  </bookViews>
  <sheets>
    <sheet name="Дод.2" sheetId="1" r:id="rId1"/>
    <sheet name="Дод.3" sheetId="2" r:id="rId2"/>
    <sheet name="Дод.4" sheetId="3" r:id="rId3"/>
    <sheet name="Дод.4.1" sheetId="4" r:id="rId4"/>
    <sheet name="дод.5" sheetId="5" r:id="rId5"/>
    <sheet name="дод. 7" sheetId="6" r:id="rId6"/>
    <sheet name="Дод.1" sheetId="7" r:id="rId7"/>
    <sheet name="Дод.1.1" sheetId="8" r:id="rId8"/>
    <sheet name="дод 6.1" sheetId="9" r:id="rId9"/>
    <sheet name="Лист2" sheetId="10" r:id="rId10"/>
  </sheets>
  <externalReferences>
    <externalReference r:id="rId13"/>
  </externalReferences>
  <definedNames>
    <definedName name="_xlnm.Print_Titles" localSheetId="6">'Дод.1'!$7:$9</definedName>
    <definedName name="_xlnm.Print_Titles" localSheetId="1">'Дод.3'!$7:$11</definedName>
    <definedName name="_xlnm.Print_Titles" localSheetId="2">'Дод.4'!$A:$B</definedName>
    <definedName name="_xlnm.Print_Area" localSheetId="5">'дод. 7'!$A$1:$I$15</definedName>
    <definedName name="_xlnm.Print_Area" localSheetId="6">'Дод.1'!$A$1:$F$119</definedName>
    <definedName name="_xlnm.Print_Area" localSheetId="7">'Дод.1.1'!$A$1:$E$198</definedName>
    <definedName name="_xlnm.Print_Area" localSheetId="0">'Дод.2'!$A$1:$F$31</definedName>
    <definedName name="_xlnm.Print_Area" localSheetId="1">'Дод.3'!$D$1:$S$110</definedName>
    <definedName name="_xlnm.Print_Area" localSheetId="2">'Дод.4'!$A$1:$AG$44</definedName>
    <definedName name="_xlnm.Print_Area" localSheetId="3">'Дод.4.1'!$A$1:$E$233</definedName>
    <definedName name="_xlnm.Print_Area" localSheetId="4">'дод.5'!$B$1:$K$103</definedName>
  </definedNames>
  <calcPr fullCalcOnLoad="1"/>
</workbook>
</file>

<file path=xl/sharedStrings.xml><?xml version="1.0" encoding="utf-8"?>
<sst xmlns="http://schemas.openxmlformats.org/spreadsheetml/2006/main" count="1421" uniqueCount="874">
  <si>
    <t>Бюджет Оліївської сільської об’єднаної територіальної громади</t>
  </si>
  <si>
    <t>Бюджет Станишівської сільської об’єднаної територіальної громади</t>
  </si>
  <si>
    <t>Бюджет Тетерівської сільської об’єднаної територіальної громади</t>
  </si>
  <si>
    <t>на виконання Районної (комплексної) цільової соціальної Програми забезпечення житлом дітей-сиріт, дітей позбавлених батьківського піклування, та осіб з їх числа на 2018-2022  роки (на придбання житла,  особі з числа дітей, позбавлених батьківського піклування Лайчук О.В., Лайчуку С.В., Лайчуку В.В., походження яких с. Вигода)</t>
  </si>
  <si>
    <t xml:space="preserve">Заступник голови районної ради </t>
  </si>
  <si>
    <t xml:space="preserve">          Заступник голови районної ради</t>
  </si>
  <si>
    <t xml:space="preserve">        Заступник голови районної ради</t>
  </si>
  <si>
    <t>Заступник голови районної ради</t>
  </si>
  <si>
    <t>розбіжність</t>
  </si>
  <si>
    <t>3047</t>
  </si>
  <si>
    <t>Відшкодування вартості лікарських засобів для лікування окремих захворювань</t>
  </si>
  <si>
    <t>2146</t>
  </si>
  <si>
    <t>0212146</t>
  </si>
  <si>
    <t>33010100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</si>
  <si>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</si>
  <si>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</si>
  <si>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Офіційні трансферти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</si>
  <si>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</si>
  <si>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21110000</t>
  </si>
  <si>
    <t>Надходження коштів від відшкодування втрат сільськогосподарського і лісогосподарського виробництва</t>
  </si>
  <si>
    <t>0110000</t>
  </si>
  <si>
    <t>0100000</t>
  </si>
  <si>
    <t>0300000</t>
  </si>
  <si>
    <t>Багатопрофільна стаціонарна медична допомога населенню</t>
  </si>
  <si>
    <t>0731</t>
  </si>
  <si>
    <t>0312010</t>
  </si>
  <si>
    <t>0310000</t>
  </si>
  <si>
    <t>2140</t>
  </si>
  <si>
    <t>0722</t>
  </si>
  <si>
    <t>0726</t>
  </si>
  <si>
    <t>13030000</t>
  </si>
  <si>
    <t>31010200</t>
  </si>
  <si>
    <t>11011400</t>
  </si>
  <si>
    <t>Обласний бюджет</t>
  </si>
  <si>
    <t>виконання п.20 Прикінцевих та перехідних положень Бюджетного кодексу України, всього</t>
  </si>
  <si>
    <t>Плата за користування надрами для видобування корисних копалин місцевого значення</t>
  </si>
  <si>
    <t>Власні надходження бюджетних установ</t>
  </si>
  <si>
    <t>Разом доходів</t>
  </si>
  <si>
    <t>Від органів державного управління</t>
  </si>
  <si>
    <t>11000000</t>
  </si>
  <si>
    <t>11020200</t>
  </si>
  <si>
    <t>11010000</t>
  </si>
  <si>
    <t>11020000</t>
  </si>
  <si>
    <t>13000000</t>
  </si>
  <si>
    <t>13050000</t>
  </si>
  <si>
    <t>14000000</t>
  </si>
  <si>
    <t>14060300</t>
  </si>
  <si>
    <t>20000000</t>
  </si>
  <si>
    <t>21000000</t>
  </si>
  <si>
    <t>22000000</t>
  </si>
  <si>
    <t>22080000</t>
  </si>
  <si>
    <t>23000000</t>
  </si>
  <si>
    <t>23030000</t>
  </si>
  <si>
    <t>24000000</t>
  </si>
  <si>
    <t>40000000</t>
  </si>
  <si>
    <t>41010000</t>
  </si>
  <si>
    <t>41020000</t>
  </si>
  <si>
    <t>41030000</t>
  </si>
  <si>
    <t>41000000</t>
  </si>
  <si>
    <t>Резервний фонд</t>
  </si>
  <si>
    <t>41020100</t>
  </si>
  <si>
    <t>Плата за державну реєстрацію суб’єктів підприємницької діяльності</t>
  </si>
  <si>
    <t>Призначення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</si>
  <si>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</si>
  <si>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</si>
  <si>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Додаток № 6.1</t>
  </si>
  <si>
    <t>Місцевий бюджет з якого надається субвенція</t>
  </si>
  <si>
    <t>1513180</t>
  </si>
  <si>
    <t>5031</t>
  </si>
  <si>
    <t>5032</t>
  </si>
  <si>
    <t>0456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</si>
  <si>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</si>
  <si>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</si>
  <si>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1040</t>
  </si>
  <si>
    <t>Проведення навчально-тренувальних зборів і змагань з олімпійських видів спорту</t>
  </si>
  <si>
    <t>0810</t>
  </si>
  <si>
    <t>0315011</t>
  </si>
  <si>
    <t>Фінансова підтримка дитячо-юнацьких спортивних шкіл фізкультурно-спортивних товариств</t>
  </si>
  <si>
    <t>0318600</t>
  </si>
  <si>
    <t xml:space="preserve">Плата за розміщення тимчасово вільних коштів місцевих бюджетів </t>
  </si>
  <si>
    <t>з них</t>
  </si>
  <si>
    <t>РАЗОМ</t>
  </si>
  <si>
    <t>4017810</t>
  </si>
  <si>
    <t>06308501000</t>
  </si>
  <si>
    <t>06308503000</t>
  </si>
  <si>
    <t>06308505000</t>
  </si>
  <si>
    <t>06308506000</t>
  </si>
  <si>
    <t>06308507000</t>
  </si>
  <si>
    <t>06308508000</t>
  </si>
  <si>
    <t>13050100</t>
  </si>
  <si>
    <t>13050200</t>
  </si>
  <si>
    <t>13050300</t>
  </si>
  <si>
    <t>13050500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</si>
  <si>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</si>
  <si>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</si>
  <si>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</si>
  <si>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</si>
  <si>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Базова дотація</t>
  </si>
  <si>
    <t>Додаткова дотація з державного бюджету на забезпечення видатків на оплату праці працівників бюджетних установ у зв`язку із наближенням запровадження Єдиної тарифної сітки розрядів і коефіцієнтів у повному обсязі</t>
  </si>
  <si>
    <t>1070</t>
  </si>
  <si>
    <t>0421</t>
  </si>
  <si>
    <t xml:space="preserve">до рішення  районної ради  </t>
  </si>
  <si>
    <t>Плата за оренду майна бюджетних установ</t>
  </si>
  <si>
    <t>11010800</t>
  </si>
  <si>
    <t>Житомирська районна рада</t>
  </si>
  <si>
    <t>Житомирська районна державна адміністрація</t>
  </si>
  <si>
    <t>0312214</t>
  </si>
  <si>
    <t>2214</t>
  </si>
  <si>
    <t>0763</t>
  </si>
  <si>
    <t>0313112</t>
  </si>
  <si>
    <t>3112</t>
  </si>
  <si>
    <t>Заходи державної політики з питань дітей та їх соціального захисту</t>
  </si>
  <si>
    <t>22012900</t>
  </si>
  <si>
    <t xml:space="preserve">                 Інші субвенції з районного місцевим бюджетам на 2019 рік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</si>
  <si>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</si>
  <si>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дефіцит зф</t>
  </si>
  <si>
    <t>дефіцит зф вцілому</t>
  </si>
  <si>
    <t>залишок коштів РБ</t>
  </si>
  <si>
    <t>профіцит зф</t>
  </si>
  <si>
    <t>дефіцит сф</t>
  </si>
  <si>
    <t>надходження із зф</t>
  </si>
  <si>
    <t>залишок коштів СФ</t>
  </si>
  <si>
    <t>вільний залишок</t>
  </si>
  <si>
    <t>Податок на прибуток підприємств</t>
  </si>
  <si>
    <t>Плата за землю</t>
  </si>
  <si>
    <t>Надання субсидій населенню для відшкодування витрат на оплату житлово-комунальних послуг</t>
  </si>
  <si>
    <t>1513016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</si>
  <si>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</si>
  <si>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3026</t>
  </si>
  <si>
    <t>1060</t>
  </si>
  <si>
    <t>1513026</t>
  </si>
  <si>
    <t>41050700</t>
  </si>
  <si>
    <t>41051000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</si>
  <si>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</si>
  <si>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</si>
  <si>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</si>
  <si>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Інші субвенції з місцевого бюджету </t>
  </si>
  <si>
    <t>Податок на доходи фізичних осіб, що сплачується фізичними особами за результатами річного декларування</t>
  </si>
  <si>
    <t>Найменування згідно з класифікацією доходів бюджету</t>
  </si>
  <si>
    <t>Кошти, що передаються із загального фонду бюджету до бюджету розвитку (спеціального фонду)</t>
  </si>
  <si>
    <t xml:space="preserve">Податок на прибуток підприємств та фінансових установ комунальної власності </t>
  </si>
  <si>
    <t>Плата за користування надрами</t>
  </si>
  <si>
    <t>Найменування згідно з класифікацією фінансування бюджету</t>
  </si>
  <si>
    <t>Внутрішнє фінансування</t>
  </si>
  <si>
    <t>Повернення бюджетних коштів з депозитів</t>
  </si>
  <si>
    <t xml:space="preserve">Розміщення бюджетних коштів на депозитах </t>
  </si>
  <si>
    <t xml:space="preserve">                       Перший заступник голови ради</t>
  </si>
  <si>
    <t>11010500</t>
  </si>
  <si>
    <t xml:space="preserve">Надходження від орендної плати за  користування цілісним майновим комплексом та іншим державним майном </t>
  </si>
  <si>
    <t>31000000</t>
  </si>
  <si>
    <t>Надходження від продажу основного капіталу</t>
  </si>
  <si>
    <t>31010000</t>
  </si>
  <si>
    <t xml:space="preserve">утримання дошкільних закладів освіти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</si>
  <si>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</si>
  <si>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</si>
  <si>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Зміни обсягів бюджетних коштів</t>
  </si>
  <si>
    <t>4040</t>
  </si>
  <si>
    <t>1014040</t>
  </si>
  <si>
    <t>4060</t>
  </si>
  <si>
    <t>у тому числі  бюджет розвитку</t>
  </si>
  <si>
    <t>Усього</t>
  </si>
  <si>
    <t>Доходи районного бюджету на 2019 рік</t>
  </si>
  <si>
    <t>Х</t>
  </si>
  <si>
    <t>Усього доходів (без урахування міжбюджетних трансфертів)</t>
  </si>
  <si>
    <t>Фінансування за типом кредитора</t>
  </si>
  <si>
    <t>Загальне фінансування</t>
  </si>
  <si>
    <t>Фінасування за типом боргового зобов’язання</t>
  </si>
  <si>
    <t>в тому числі бюджет розвитку</t>
  </si>
  <si>
    <t xml:space="preserve">Код Програмної класифікації видатків та кредитування місцевих бюджетів
   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</si>
  <si>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</si>
  <si>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</si>
  <si>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1513031</t>
  </si>
  <si>
    <t>3031</t>
  </si>
  <si>
    <t>Надходження бюджетних установ від додаткової (господарської) діяльності</t>
  </si>
  <si>
    <t>7317450</t>
  </si>
  <si>
    <t>7450</t>
  </si>
  <si>
    <t>0411</t>
  </si>
  <si>
    <t>Сприяння розвитку малого та середнього підприємництва</t>
  </si>
  <si>
    <t>7618370</t>
  </si>
  <si>
    <t>11020100</t>
  </si>
  <si>
    <t>31020000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</si>
  <si>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</si>
  <si>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</si>
  <si>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3022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</si>
  <si>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</si>
  <si>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</si>
  <si>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</si>
  <si>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0110180</t>
  </si>
  <si>
    <t>2100</t>
  </si>
  <si>
    <t>Стоматологічна допомога населенню</t>
  </si>
  <si>
    <t>2111</t>
  </si>
  <si>
    <t>0113242</t>
  </si>
  <si>
    <t>3242</t>
  </si>
  <si>
    <t>Інші заходи у сфері соціального захисту і соціального забезпечення</t>
  </si>
  <si>
    <t>0213242</t>
  </si>
  <si>
    <t>0611161</t>
  </si>
  <si>
    <t>1161</t>
  </si>
  <si>
    <t>0611162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</si>
  <si>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</si>
  <si>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</si>
  <si>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</si>
  <si>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Відділ регіонального розвитку, містобудування та архітектури Житомирської районної державної адміністрації</t>
  </si>
  <si>
    <t>1617350</t>
  </si>
  <si>
    <t>0615011</t>
  </si>
  <si>
    <t>0813123</t>
  </si>
  <si>
    <t>0813140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</si>
  <si>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захисту»;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
</t>
  </si>
  <si>
    <t>0813220</t>
  </si>
  <si>
    <t>3221</t>
  </si>
  <si>
    <t>1011020</t>
  </si>
  <si>
    <t>Надання позашкільної освіти позашкільними закладами освіти, заходи із позашкільної роботи з дітьми</t>
  </si>
  <si>
    <t>0960</t>
  </si>
  <si>
    <t>1011090</t>
  </si>
  <si>
    <t>0990</t>
  </si>
  <si>
    <t>1011170</t>
  </si>
  <si>
    <t>1010000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</si>
  <si>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</si>
  <si>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</si>
  <si>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</si>
  <si>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1020</t>
  </si>
  <si>
    <t>на заробітну плату з нарахуваннями тренера-викладача ДЮСШ ЖРО ВФСТ "Колос" АПК України</t>
  </si>
  <si>
    <t>Фінансова підтримка КНП "Центру  первинної медико-санітарної допомоги" на оплату енергоносіїв АЗПСМ с. Оліївка, ФАП с. Кам’янка, ФП с. Сонячне, с. Світин, с. Довжик</t>
  </si>
  <si>
    <t>Фінансова підтримка КНП "Центру  первинної медико-санітарної допомоги" на оплату інших виплат населенню (відшкодування безкоштовних рецептів)</t>
  </si>
  <si>
    <t>Фінансова підтримка КНП "Центру  первинної медико-санітарної допомоги" на придбання туберкуліну</t>
  </si>
  <si>
    <t>Фінансування за активними операціями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</si>
  <si>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</si>
  <si>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Фінансування за рахунок зміни залишків коштів бюджетів</t>
  </si>
  <si>
    <t>Податок на доходи фізичних осіб на дивіденди та роялті</t>
  </si>
  <si>
    <t xml:space="preserve">Податок на доходи фізичних осіб - військовослужбовців та осіб рядового і начальницького складу 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</si>
  <si>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</si>
  <si>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На кінець періоду</t>
  </si>
  <si>
    <t>додаток 4</t>
  </si>
  <si>
    <t>Контроль</t>
  </si>
  <si>
    <t>спец. фонд</t>
  </si>
  <si>
    <t>24060300</t>
  </si>
  <si>
    <t>25000000</t>
  </si>
  <si>
    <t>Інші надходження</t>
  </si>
  <si>
    <t>21010000</t>
  </si>
  <si>
    <t xml:space="preserve">Збори та плата за спеціальне використання природних ресурсів   </t>
  </si>
  <si>
    <t xml:space="preserve">                                  Додаток №2 </t>
  </si>
  <si>
    <t xml:space="preserve">                                  до рішення районної ради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</si>
  <si>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 відомі</t>
  </si>
  <si>
    <t>Адміністративні збори та платежі, доходи від некомерційної господарської діяльності</t>
  </si>
  <si>
    <t>контроль</t>
  </si>
  <si>
    <t>Державний бюджет</t>
  </si>
  <si>
    <t xml:space="preserve">оплата праці </t>
  </si>
  <si>
    <t xml:space="preserve">комунальні послуги та енергоносії </t>
  </si>
  <si>
    <t>Код</t>
  </si>
  <si>
    <t>Всього</t>
  </si>
  <si>
    <t>Василівська с/р</t>
  </si>
  <si>
    <t>Вересівська с/р</t>
  </si>
  <si>
    <t>Вертокиївська с/р</t>
  </si>
  <si>
    <t>Відділ культури і туризму Житомирської районної державної адміністрації</t>
  </si>
  <si>
    <t>Управління агропромислового розвитку Житомирської районної державної адміністрації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</si>
  <si>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</si>
  <si>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</si>
  <si>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</si>
  <si>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</si>
  <si>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3035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</si>
  <si>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</si>
  <si>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</si>
  <si>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</si>
  <si>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</si>
  <si>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</si>
  <si>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</si>
  <si>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</si>
  <si>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</si>
  <si>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>0813160</t>
  </si>
  <si>
    <t>1190,1200,1210</t>
  </si>
  <si>
    <t>0813050</t>
  </si>
  <si>
    <t>3050</t>
  </si>
  <si>
    <t>22012500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</si>
  <si>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</si>
  <si>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11011600</t>
  </si>
  <si>
    <t>Реалізація програм в галузі сільського господарства</t>
  </si>
  <si>
    <t>2700000</t>
  </si>
  <si>
    <t>2710000</t>
  </si>
  <si>
    <t>2717610</t>
  </si>
  <si>
    <t>3700000</t>
  </si>
  <si>
    <t>3710000</t>
  </si>
  <si>
    <t>Фіксований податок на доходи фізичних осіб від зайняття підприємницькою діяльністю</t>
  </si>
  <si>
    <t>11011100</t>
  </si>
  <si>
    <t>Податок з доходів фізичних осіб від інших видів діяльності</t>
  </si>
  <si>
    <t>Загальний фонд</t>
  </si>
  <si>
    <t>Разом</t>
  </si>
  <si>
    <t>Надходження від орендної плати за користування цілісним  майновим комплексом та іншим майном, що перебуває в комунальній власності</t>
  </si>
  <si>
    <t>Плата за послуги, що надаються бюджетними установами згідно з їх основною діяльністю</t>
  </si>
  <si>
    <t>3192</t>
  </si>
  <si>
    <t>41050100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</si>
  <si>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</si>
  <si>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</si>
  <si>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Програма виконання заходів Державної соціальної програми "Національний план дій щодо реалізації Конвенції ООН про права дитини" на період до 2021 року</t>
  </si>
  <si>
    <t>на надання фінансової підтримки Комунальному Некомерційному Підприємству "Центр первинної медико-санітарної допомоги"  Житомирської районної ради (у тому числі орфанні захворювання 238 080,00 грн)</t>
  </si>
  <si>
    <t xml:space="preserve">на надання пільг окремим категоріям громадян </t>
  </si>
  <si>
    <t>33000000</t>
  </si>
  <si>
    <t>Надання допомоги по догляду за особами з інвалідністю I чи II групи внаслідок психічного розладу</t>
  </si>
  <si>
    <t>0813230</t>
  </si>
  <si>
    <t>Дотації з державного бюджету місцевим бюджетам</t>
  </si>
  <si>
    <t>Субвенції  з державного бюджету місцевим бюджетам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</si>
  <si>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</t>
  </si>
  <si>
    <t>10000000</t>
  </si>
  <si>
    <t>Додаток № 1</t>
  </si>
  <si>
    <t>(грн.)</t>
  </si>
  <si>
    <t>х</t>
  </si>
  <si>
    <t>Податкові надходження</t>
  </si>
  <si>
    <t xml:space="preserve">  Міжбюджетні трансферти на 2019 рік</t>
  </si>
  <si>
    <t xml:space="preserve">                   Додаток №4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</si>
  <si>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</si>
  <si>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1014081</t>
  </si>
  <si>
    <t>4081</t>
  </si>
  <si>
    <t>1014082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</si>
  <si>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</si>
  <si>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</si>
  <si>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</si>
  <si>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Заходи державної політики з питань сім'ї</t>
  </si>
  <si>
    <t>Рішення-Рішення(попереднє -7)</t>
  </si>
  <si>
    <t>Первинна медична допомога населенню, що надається центрами первинної медичної (медико-санітарної) допомоги</t>
  </si>
  <si>
    <t>0200000</t>
  </si>
  <si>
    <t>0210000</t>
  </si>
  <si>
    <t>0212010</t>
  </si>
  <si>
    <t>0212100</t>
  </si>
  <si>
    <t>0212144</t>
  </si>
  <si>
    <t>2144</t>
  </si>
  <si>
    <t>Централізовані заходи з лікування хворих на цукровий та нецукровий діабет</t>
  </si>
  <si>
    <t>0213121</t>
  </si>
  <si>
    <t>Утримання та забезпечення діяльності центрів соціальних служб для сім’ї, дітей та молоді</t>
  </si>
  <si>
    <t>3121</t>
  </si>
  <si>
    <t>Утримання та навчально-тренувальна робота комунальних дитячо-юнацьких спортивних шкіл</t>
  </si>
  <si>
    <t>0215031</t>
  </si>
  <si>
    <t>0215032</t>
  </si>
  <si>
    <t>0215053</t>
  </si>
  <si>
    <t>0210180</t>
  </si>
  <si>
    <t>Інша діяльність у сфері державного управління</t>
  </si>
  <si>
    <t>Територіальному центру на відшкодування витрат  за надання соціальних послуг одиноким непрацездатним громадянам Оліївської сільської ради</t>
  </si>
  <si>
    <t>УПСЗН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Оліївської сільської ради</t>
  </si>
  <si>
    <t>УПСЗН на надання інших пільг окремим категоріям громадян Оліївської сільської ради відповідно до законодавства</t>
  </si>
  <si>
    <t>УПСЗН на надання пільг окремим категоріям громадян Оліївської сільської ради з оплати послуг зв'язку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</si>
  <si>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</si>
  <si>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</si>
  <si>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0600000</t>
  </si>
  <si>
    <t>0610000</t>
  </si>
  <si>
    <t xml:space="preserve">Методичне забезпечення діяльності навчальних закладів </t>
  </si>
  <si>
    <t>0611150</t>
  </si>
  <si>
    <t>1150</t>
  </si>
  <si>
    <t>3230</t>
  </si>
  <si>
    <t>0810000</t>
  </si>
  <si>
    <t>0800000</t>
  </si>
  <si>
    <t>Управління праці та соціального захисту Житомирської районної державної адміністрації</t>
  </si>
  <si>
    <t>41020700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</si>
  <si>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</si>
  <si>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Надання пільг на оплату житлово комунальних послуг окремим категоріям громадян відповідно до законодавства</t>
  </si>
  <si>
    <t>0813012</t>
  </si>
  <si>
    <t>3012</t>
  </si>
  <si>
    <t>3021,3022,3023,3024,3025</t>
  </si>
  <si>
    <t>Утримання та розвиток автомобільних доріг та дорожньої інфраструктури за рахунок субвенції з державного бюджету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</si>
  <si>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</si>
  <si>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</si>
  <si>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</si>
  <si>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3031,3032,3033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</si>
  <si>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</si>
  <si>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</si>
  <si>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</si>
  <si>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</si>
  <si>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0443</t>
  </si>
  <si>
    <t>інші субвенції з місцевого бюджету, всього</t>
  </si>
  <si>
    <t>0813035</t>
  </si>
  <si>
    <t>Компенсаційні виплати за пільговий проїзд окремих категорій громадян на залізничному транспорті</t>
  </si>
  <si>
    <t>1217640</t>
  </si>
  <si>
    <t>7640</t>
  </si>
  <si>
    <t>0470</t>
  </si>
  <si>
    <t>Заходи з енергозбереження</t>
  </si>
  <si>
    <t>1218313</t>
  </si>
  <si>
    <t>8313</t>
  </si>
  <si>
    <t>0513</t>
  </si>
  <si>
    <t>2717693</t>
  </si>
  <si>
    <t>7693</t>
  </si>
  <si>
    <t>0490</t>
  </si>
  <si>
    <t>Інші заходи, пов'язані з економічною діяльністю</t>
  </si>
  <si>
    <t>1218830</t>
  </si>
  <si>
    <t>Районна цільова програма підтримки індивідуального житлового будівництва на селі „Власний дім” на період 2017-2020 років, рішення районної ради від 04.08.2017 № 430</t>
  </si>
  <si>
    <t>8830</t>
  </si>
  <si>
    <t>Довгострокові кредити індивідуальним забудовникам житла на селі та їх повернення</t>
  </si>
  <si>
    <t>1218831</t>
  </si>
  <si>
    <t>8831</t>
  </si>
  <si>
    <t>Надання кредиту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</si>
  <si>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</si>
  <si>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</si>
  <si>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</si>
  <si>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</si>
  <si>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</si>
  <si>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</si>
  <si>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1014060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</si>
  <si>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</si>
  <si>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>Рішення-зміни(new)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</si>
  <si>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</si>
  <si>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</si>
  <si>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</si>
  <si>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Рішення нове 19-7</t>
  </si>
  <si>
    <t>Субвенція з місцевого бюджету на здійснення переданих видатків у сфері освіти за рахунок коштів освітньої субвенції</t>
  </si>
  <si>
    <t>41050400</t>
  </si>
  <si>
    <t>заг. фонд</t>
  </si>
  <si>
    <t xml:space="preserve">Реструктурована сума заборгованості плати за землю                 </t>
  </si>
  <si>
    <t>41021100</t>
  </si>
  <si>
    <t>Додаток №1.1</t>
  </si>
  <si>
    <t>Додаток №4.1</t>
  </si>
  <si>
    <t>0212111</t>
  </si>
  <si>
    <t>0611090</t>
  </si>
  <si>
    <t>1100</t>
  </si>
  <si>
    <t>Надання допомоги при усиновленні дитини</t>
  </si>
  <si>
    <t>1513202</t>
  </si>
  <si>
    <t>2410000</t>
  </si>
  <si>
    <t>0824</t>
  </si>
  <si>
    <t>2414060</t>
  </si>
  <si>
    <t>4070</t>
  </si>
  <si>
    <t>2414070</t>
  </si>
  <si>
    <t>0828</t>
  </si>
  <si>
    <t>2414090</t>
  </si>
  <si>
    <t>2414100</t>
  </si>
  <si>
    <t>0829</t>
  </si>
  <si>
    <t>7618010</t>
  </si>
  <si>
    <t>0180</t>
  </si>
  <si>
    <t>7618800</t>
  </si>
  <si>
    <t>0320</t>
  </si>
  <si>
    <t>Відділ економічного розвитку і торгівлі Житомирської районної державної адміністрації</t>
  </si>
  <si>
    <t>0312140</t>
  </si>
  <si>
    <t>0312180</t>
  </si>
  <si>
    <t>0313131</t>
  </si>
  <si>
    <t>1513104</t>
  </si>
  <si>
    <t>13050400</t>
  </si>
  <si>
    <t>21010300</t>
  </si>
  <si>
    <t>1513033</t>
  </si>
  <si>
    <t>0921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</si>
  <si>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</si>
  <si>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</si>
  <si>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Стах В.М.</t>
  </si>
  <si>
    <t xml:space="preserve">                                        Заступник голови районної ради                                                                          Стах В.М.                                            </t>
  </si>
  <si>
    <t>№ п/п</t>
  </si>
  <si>
    <t>Найменування сільських і селищної рад</t>
  </si>
  <si>
    <t>Дошкільна освіта</t>
  </si>
  <si>
    <t>Культура</t>
  </si>
  <si>
    <t>виконання Програми забезпечення житлом дітей-сиріт, дітей, позбавлених батьківського піклування, та осіб з їх числа на 2018-2022 роки</t>
  </si>
  <si>
    <t>Надання допомоги у зв'язку з вагітністю і пологами</t>
  </si>
  <si>
    <t>1513041</t>
  </si>
  <si>
    <t>1513042</t>
  </si>
  <si>
    <t>Надання допомоги при народженні дитини</t>
  </si>
  <si>
    <t>1513043</t>
  </si>
  <si>
    <t>Надання допомоги на дітей, над якими встановлено опіку чи піклування</t>
  </si>
  <si>
    <t>1513044</t>
  </si>
  <si>
    <t>Надання допомоги на дітей одиноким матерям</t>
  </si>
  <si>
    <t>1513045</t>
  </si>
  <si>
    <t>Надання тимчасової державної допомоги дітям</t>
  </si>
  <si>
    <t>1513046</t>
  </si>
  <si>
    <t>Управління фінансів Житомирської районної державної адміністрації</t>
  </si>
  <si>
    <t>22010000</t>
  </si>
  <si>
    <t>22010300</t>
  </si>
  <si>
    <t>22012600</t>
  </si>
  <si>
    <t>16.</t>
  </si>
  <si>
    <t>17.</t>
  </si>
  <si>
    <t>Руднє-Городищенська с/р</t>
  </si>
  <si>
    <t>Надходження коштів від Державного фонду дорогоцінних металів і дорогоцінного каміння</t>
  </si>
  <si>
    <t xml:space="preserve">КОНТРОЛЬ </t>
  </si>
  <si>
    <t>різниця</t>
  </si>
  <si>
    <t>41020600</t>
  </si>
  <si>
    <t>41021000</t>
  </si>
  <si>
    <t>Дотації  з місцевих бюджетів іншим місцевим бюджетам</t>
  </si>
  <si>
    <t>41040000 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</si>
  <si>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</si>
  <si>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</si>
  <si>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41050000 </t>
  </si>
  <si>
    <t>Субвенції  з місцевих бюджетів іншим місцевим бюджетам</t>
  </si>
  <si>
    <t>41050300</t>
  </si>
  <si>
    <t>заклади охорони здоров’я</t>
  </si>
  <si>
    <t>0813082</t>
  </si>
  <si>
    <t>3082</t>
  </si>
  <si>
    <t>13030200</t>
  </si>
  <si>
    <t>Податок на 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</si>
  <si>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Березівська с/р</t>
  </si>
  <si>
    <t>Головенківська с/р</t>
  </si>
  <si>
    <t>Заможненська с/р</t>
  </si>
  <si>
    <t>Іванівська с/р</t>
  </si>
  <si>
    <t>Коднянська с/р</t>
  </si>
  <si>
    <t>Левківська с/р</t>
  </si>
  <si>
    <t>Миролюбівська с/р</t>
  </si>
  <si>
    <t>Озерянківська с/р</t>
  </si>
  <si>
    <t>Оліївська с/р</t>
  </si>
  <si>
    <t>Садківська с/р</t>
  </si>
  <si>
    <t>Сінгурівська с/р</t>
  </si>
  <si>
    <t>Тетерівська с/р</t>
  </si>
  <si>
    <t>Пільгове медичне обслуговування осіб, які постраждали внаслідок Чорнобильської катастрофи</t>
  </si>
  <si>
    <t>3081</t>
  </si>
  <si>
    <t>0813081</t>
  </si>
  <si>
    <t>0813083</t>
  </si>
  <si>
    <t>3083</t>
  </si>
  <si>
    <t>Відділ житлово-комунально господарства та цивільного захисту населення Житомирської районної державної адміністрації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</si>
  <si>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</si>
  <si>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</si>
  <si>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41021200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</si>
  <si>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</si>
  <si>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Надання державної соціальної допомоги малозабезпеченим сім'ям</t>
  </si>
  <si>
    <t>1513048</t>
  </si>
  <si>
    <t>Плата за надання адміністративних послуг</t>
  </si>
  <si>
    <t>Зміни обсягів депозитів і цінних паперів, що використовуються для управління ліквідністю</t>
  </si>
  <si>
    <t>видатки споживання</t>
  </si>
  <si>
    <t>Податок та збір на доходи фізичних осіб</t>
  </si>
  <si>
    <t>видатки розвитку</t>
  </si>
  <si>
    <t>06308521000</t>
  </si>
  <si>
    <t>06308522000</t>
  </si>
  <si>
    <t>06308524000</t>
  </si>
  <si>
    <t>06308525000</t>
  </si>
  <si>
    <t>06308526000</t>
  </si>
  <si>
    <t>06308527000</t>
  </si>
  <si>
    <t>06308528000</t>
  </si>
  <si>
    <t>06308529000</t>
  </si>
  <si>
    <t>06308401000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</si>
  <si>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</si>
  <si>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</si>
  <si>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21080000</t>
  </si>
  <si>
    <t>Iншi надходження</t>
  </si>
  <si>
    <t>Податок на  доходи фізичних осіб від продажу рухомого майна та надання рухомого майна в оренду (суборенду)</t>
  </si>
  <si>
    <t>3180</t>
  </si>
  <si>
    <t>оплата праці</t>
  </si>
  <si>
    <t>комунальні послуги та енергоносії</t>
  </si>
  <si>
    <t>загальний фонд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</si>
  <si>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</si>
  <si>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</si>
  <si>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</si>
  <si>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</si>
  <si>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</si>
  <si>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</si>
  <si>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</si>
  <si>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</si>
  <si>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</si>
  <si>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</si>
  <si>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</si>
  <si>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</si>
  <si>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</si>
  <si>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</si>
  <si>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</si>
  <si>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бюдж 2019 заг-фонд</t>
  </si>
  <si>
    <t xml:space="preserve"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
</t>
  </si>
  <si>
    <t>У тому числі бюджет розвитку</t>
  </si>
  <si>
    <t xml:space="preserve">Розподіл видатків районного бюджету на 2019 рік </t>
  </si>
  <si>
    <t xml:space="preserve">                 Інші субвенції з місцевих бюджетів районному бюджету на 2019 рік</t>
  </si>
  <si>
    <t>Фінансування районного бюджету на 2019 рік</t>
  </si>
  <si>
    <t xml:space="preserve">Додаток №3 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</si>
  <si>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</si>
  <si>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</si>
  <si>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</si>
  <si>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</si>
  <si>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</si>
  <si>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</si>
  <si>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</si>
  <si>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Програма забезпечення відкритості в діяльності Житомирської районної ради та Житомирської районної державної адміністрації на 2018-2020 роки</t>
  </si>
  <si>
    <t>Рішення районної ради від 22.12.2017 № 513</t>
  </si>
  <si>
    <t>Програма про кошти для забезпечення виконання депутатських повноважень та порядок їх використання на 2018-2020 роки</t>
  </si>
  <si>
    <t>Програма розвитку архівної справи та утримання комунальної установи "Трудовий архів" Житомирської районної ради на 2018-2020 роки</t>
  </si>
  <si>
    <t>Районна програма розвитку фізичної культури та спорту на 2017-2021 роки</t>
  </si>
  <si>
    <t>Районна програма щодо забезпечення громадян Житомирського району, які страждають на рідкісні (орфанні) захворювання, лікарськими засобами та відповідними харчовими продуктами для спеціального дієтичного харчування на 2016-2020 роки</t>
  </si>
  <si>
    <t>Програма економічного і соціального розвитку Житомирського району на 2018 рік</t>
  </si>
  <si>
    <t>Комплексна Програма профілактики злочинності у Житомирському районі на 2016-2020 роки</t>
  </si>
  <si>
    <t>Програма фінансування робіт з будівництва, реконструкції, ремонту та утримання комунальних, загального користування місцевого та державного значення автомобільних доріг  у Житомирському районі на 2016-2020 роки</t>
  </si>
  <si>
    <t>Програма національно-патріотичного виховання дітей та молоді в Житомирському районі на 2016-2020 роки</t>
  </si>
  <si>
    <t>Програма оздоровлення та відпочинку дітей на 2016-2020 роки</t>
  </si>
  <si>
    <t>Програма розвитку культури і туризму Житомирського району на 2016-2019 роки</t>
  </si>
  <si>
    <t>Районна комплексна Програма “Молодь і родина Житомирського району” на 2017 – 2020 роки</t>
  </si>
  <si>
    <t>Територіальному центру на відшкодування витрат за надання соціальних послуг одиноким непрацездатним громадян Станишівської сільської ради</t>
  </si>
  <si>
    <t>Відділу культури і туризму на оплату з нарахуваннями педагогічним працівникам філіалу с. Зарічани КЗ Новогуйвинської музичної школи</t>
  </si>
  <si>
    <t>УПСЗН на надання інших пільг окремим категоріям громадян Глибочицької сільської ради відповідно до законодавства</t>
  </si>
  <si>
    <t>УПСЗН на надання пільг окремим категоріям громадян Глибочицької сільської ради з оплати послуг зв'язку</t>
  </si>
  <si>
    <t>УПСЗН на відшкодування витрат за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</si>
  <si>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УПСЗН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Глибочицької сільської ради </t>
  </si>
  <si>
    <t>Територіальному центру на відшкодування витрат за надання соціальних послуг одиноким непрацездатним громадянам Глибочицької сільської ради</t>
  </si>
  <si>
    <t>на заробітну плату з нарахуваннями тренерів-викладачів ДЮСШ ЖРО ВФСТ "Колос" АПК України</t>
  </si>
  <si>
    <t>Фінансова підтримка КНП ЦПМСД на медикаменти та інші виплати населенню</t>
  </si>
  <si>
    <t>на учбово-тренувальні збори, участь в змаганнях та оплату послуг (крім комунальних) ДЮСШ ЖРО ВФСТ "Колос" АПК України</t>
  </si>
  <si>
    <t>Програма стабілізації  і розвитку агропромислового комплексу Житомирського району на 2016-2020 роки</t>
  </si>
  <si>
    <t>Програма розвитку малого і середнього підприємництва у Житомирському районі на 2017-2020 роки</t>
  </si>
  <si>
    <t>Програма залучення інвестицій в економіку Житомирського району на 2016-2020 роки</t>
  </si>
  <si>
    <t>Районна (комплексна) цільова соціальна Програма забезпечення житлом дітей-сиріт, дітей позбавлених батьківського піклування, та осіб з їх числа на 2018-2022  роки</t>
  </si>
  <si>
    <t>Програма утримання житлово-комунального господарства та благоустрою населених пунктів Житомирського району на 2018-2020 роки</t>
  </si>
  <si>
    <t>Програма фінансування видатків на компенсаційні виплати за пільговий проїзд окремих категорій громадян  автомобільним транспортом на приміських автобусних маршрутах загального користування у Житомирському районі на 2018 рік</t>
  </si>
  <si>
    <t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 на 2018-2020 роки</t>
  </si>
  <si>
    <t>Програма протиепізоотичних заходів та боротьби з  хворобами тварин у Житомирському районі на 2018 рік</t>
  </si>
  <si>
    <t>Програма надання шефської допомоги військовим частинам  на 2017- 2018 р.р.</t>
  </si>
  <si>
    <t>Комплексна Програма забезпечення пожежної безпеки та захисту населення і території від надзвичайних ситуацій до 2021 року</t>
  </si>
  <si>
    <t>Програми забезпечення мобілізаційної підготовки Житомирського району на 2018 рік</t>
  </si>
  <si>
    <t>Районна Програма "Територіальна оборона Житомирського району на 2017-2019 роки"</t>
  </si>
  <si>
    <t>Програми сприяння публічності та розвитку казначейсського обслуговування на території Житомирського району на 2018-2020 рр. Доступне казначейство"</t>
  </si>
  <si>
    <t>Рішення районної ради від 22.12.2017 № 514</t>
  </si>
  <si>
    <t>Рішення районної ради від 03.11.2017 № 485</t>
  </si>
  <si>
    <t>Рішення районної ради від 29.12.2016 №286</t>
  </si>
  <si>
    <t>Рішення районної ради від 29.04.2016 № 68</t>
  </si>
  <si>
    <t>Рішення районної ради від 22.12.2017 № 512</t>
  </si>
  <si>
    <t>Районна цільова соціальна програма протидії захворюванню на туберкульоз на 2017-2021 роки</t>
  </si>
  <si>
    <t>Рішення районної ради від 04.08.2017 № 429</t>
  </si>
  <si>
    <t>Рішення районної ради від 29.04.16 № 66</t>
  </si>
  <si>
    <t>Рішення районної ради від 29.12.2016 № 286</t>
  </si>
  <si>
    <t>Рішення районної ради від 04.11.2016 № 178</t>
  </si>
  <si>
    <t>Рішення районної ради від 29.07.2016 р. № 133</t>
  </si>
  <si>
    <t>Рішення районної ради від 27.01.2016 № 34</t>
  </si>
  <si>
    <t>Рішення районної ради від 29.07.2016 № 121</t>
  </si>
  <si>
    <t>Рішення районної ради від 27.02.2017 № 303</t>
  </si>
  <si>
    <t>Рішення районної ради від 29.04.2016 № 70</t>
  </si>
  <si>
    <t>Рішеннярайонної ради від 15.12.2015 № 214</t>
  </si>
  <si>
    <t>Рішення районної ради від 29.07.2016 № 122</t>
  </si>
  <si>
    <t>Рішення районної ради від 22.12.2017 № 516</t>
  </si>
  <si>
    <t>Рішення районної ради від 14.03.2018 № 568</t>
  </si>
  <si>
    <t>Рішення районної ради від 14.03.2018 № 570</t>
  </si>
  <si>
    <t>Рішення районної ради від 29.04.16 №66</t>
  </si>
  <si>
    <t>Рішення районної ради від 04.11.2016 №178</t>
  </si>
  <si>
    <t>Рішення районної ради від 03.11.2017 № 486</t>
  </si>
  <si>
    <t>Фінансова підтримка КНП "Центру  первинної медико-санітарної допомоги" на придбання медикаментів для Ільченко Анни Сергіївни, жительки с. Сонячне, вул. Чапаєва, 3, хворої на орфанні захворювання (226 300 грн.); на придбання харчування хворого на фенілкетонурію Кондратенка Дмитра Олеговича, жителя с. Сонячне, вул. І. Сікорського, 15 (412 500  грн.)</t>
  </si>
  <si>
    <t>Рішення районної ради від 03.11.2017 № 484</t>
  </si>
  <si>
    <t>Рішення районної ради від 27.02.2017 № 301</t>
  </si>
  <si>
    <t>Рішення районної ради від 17.06.2015 № 615</t>
  </si>
  <si>
    <t>Рішення районної ради від 14.03.2018 № 567</t>
  </si>
  <si>
    <t>Рішення районної ради від 27.02.2017 № 302</t>
  </si>
  <si>
    <t>Рішення районної ради від 14.03.2018 № 569</t>
  </si>
  <si>
    <t xml:space="preserve">Х </t>
  </si>
  <si>
    <t>УСЬОГО</t>
  </si>
  <si>
    <t>на оплату послуг по наданню доступу до глобальної мережі інтернет для Сінгурівської ЗОШ І-ІІІ ст.</t>
  </si>
  <si>
    <t>на придбання залізобетонного паркану для Озерянківської ЗОШ І-ІІ ст.</t>
  </si>
  <si>
    <t xml:space="preserve">КНП ЦПМСД на поточний ремонт приміщення амбулаторії загальної практики сімейної медицини с. Вертокиївка </t>
  </si>
  <si>
    <t>на заробітну плату повару Василівської ЗОШ І-ІІІ ступенів</t>
  </si>
  <si>
    <t>на придбання світильників стельових накладних для Садківської ЗОШ І-ІІІ ст.</t>
  </si>
  <si>
    <t>на придбання мікроскопа для Садківської ЗОШ І-ІІІ ст</t>
  </si>
  <si>
    <t>КНП ЦПМСД на придбання виробів медичного призначення, канцтоварів, кушетки медичної та меблів для АЗПСМ с. Садки</t>
  </si>
  <si>
    <t>Програма фінансової підтримки КНП ЦРЛ Житомирської районної ради на 2019 рік</t>
  </si>
  <si>
    <t>0212142</t>
  </si>
  <si>
    <t>2142</t>
  </si>
  <si>
    <t>Програми і централізовані заходи боротьби з туберкульозом</t>
  </si>
  <si>
    <t>0212152</t>
  </si>
  <si>
    <t>2152</t>
  </si>
  <si>
    <t>Інші програми та заходи у сфері охорони здоров’я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</si>
  <si>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</si>
  <si>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</si>
  <si>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</si>
  <si>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 підвіз учнів та вчителів  загальноосвітніх шкіл Станишівської сільської ради згідно аудиторського звіту від 11.07.2018 № 06-08-10/003</t>
  </si>
  <si>
    <t>на капітальний ремонт доріг комунальної власності Іванівської сільської ради</t>
  </si>
  <si>
    <t xml:space="preserve">на виплату заробітної плати з нарахуваннями апарату управління Заможненської сільської ради </t>
  </si>
  <si>
    <t>Розподіл коштів бюджету розвитку за об"єктами у 2019 році</t>
  </si>
  <si>
    <t>Код Програмної класифікації видатків та кредитування  місцевих бюджетів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</si>
  <si>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</si>
  <si>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</si>
  <si>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</si>
  <si>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об"єкта, гривень</t>
  </si>
  <si>
    <t xml:space="preserve">Обсяг видатків бюджету розвитку, гривень </t>
  </si>
  <si>
    <t>Рівень будівельної готовності об"єкта на кінець бюджетного періоду, %</t>
  </si>
  <si>
    <t>1</t>
  </si>
  <si>
    <t>2</t>
  </si>
  <si>
    <t>3</t>
  </si>
  <si>
    <t>Додаток 7</t>
  </si>
  <si>
    <t xml:space="preserve">від                    № </t>
  </si>
  <si>
    <t>на реконструкцію даху з м’якої покрівлі на шатрову Троянівської ЗОШ І-ІІІ ст. с.Троянів Житомирського району, Житомирської області</t>
  </si>
  <si>
    <t xml:space="preserve">                                  від                   № </t>
  </si>
  <si>
    <t xml:space="preserve">від                    №  </t>
  </si>
  <si>
    <t xml:space="preserve">від                          №   </t>
  </si>
  <si>
    <t xml:space="preserve">від                           №  </t>
  </si>
  <si>
    <t xml:space="preserve">            від                   № </t>
  </si>
  <si>
    <t>Районна Програма соціальної підтримки учасників АТО, ООС та членів їх сімей на 2019-2021 роки</t>
  </si>
  <si>
    <t>Комплексна програма фінансової підтримки громадських організацій ветеранів війни, учасників бойових дій, інвалідів, ліквідаторів аварії       на Чорнобильській АЕС Житомирського району на 2019 рік</t>
  </si>
  <si>
    <t>Рішення районної ради від 21.12.2018 № 759</t>
  </si>
  <si>
    <t>Рішення районної ради від 21.12.2018 № 761</t>
  </si>
  <si>
    <t>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</si>
  <si>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 надання пільг окремим категоріям громадян з оплати послуг зв’язку</t>
  </si>
  <si>
    <t>Трансферти з інших місцевих бюджетів</t>
  </si>
  <si>
    <t>спеціального фонду на:</t>
  </si>
  <si>
    <t>загального фонду на:</t>
  </si>
  <si>
    <t>найменування трансферту</t>
  </si>
  <si>
    <t xml:space="preserve">Код </t>
  </si>
  <si>
    <t>Найменування бюджету - одержувача/надавача міжбюджетного трансферту</t>
  </si>
  <si>
    <t xml:space="preserve"> заклади освіти</t>
  </si>
  <si>
    <t>06201100000</t>
  </si>
  <si>
    <t>Субвенції</t>
  </si>
  <si>
    <t>Трансферти іншим бюджетам</t>
  </si>
  <si>
    <t>медичне обслуговування внутрішньо переміщених осіб</t>
  </si>
  <si>
    <t>Програма фінансової підтримки діяльності Житомирської районної організації ветеранів України на 2016 – 2018 роки, рішення районної ради від 18.12.2015     № 14</t>
  </si>
  <si>
    <t>1010</t>
  </si>
  <si>
    <t>0910</t>
  </si>
  <si>
    <t>1511060</t>
  </si>
  <si>
    <t>1513011</t>
  </si>
  <si>
    <t>1513021</t>
  </si>
  <si>
    <t>14060000</t>
  </si>
  <si>
    <t>Внутрішні податки на товари та послуги</t>
  </si>
  <si>
    <t>Неподаткові надходження</t>
  </si>
  <si>
    <t>Адміністративні штрафи та інші санкції</t>
  </si>
  <si>
    <t>Інші неподаткові надходження</t>
  </si>
  <si>
    <t>дод.3 ріш.</t>
  </si>
  <si>
    <t>0110170</t>
  </si>
  <si>
    <t>0170</t>
  </si>
  <si>
    <t>0111</t>
  </si>
  <si>
    <t>0133</t>
  </si>
  <si>
    <t>0118600</t>
  </si>
  <si>
    <t>8600</t>
  </si>
  <si>
    <t>22080400</t>
  </si>
  <si>
    <t>Кошти, що надходять з інших бюджетів</t>
  </si>
  <si>
    <t>24060000</t>
  </si>
  <si>
    <t>06308509000</t>
  </si>
  <si>
    <t>06308511000</t>
  </si>
  <si>
    <t>06308513000</t>
  </si>
  <si>
    <t>06308515000</t>
  </si>
  <si>
    <t>06308517000</t>
  </si>
  <si>
    <t>06308520000</t>
  </si>
  <si>
    <t>7350</t>
  </si>
  <si>
    <t>Розроблення схем планування та забудови територій (містобудівної документації)</t>
  </si>
  <si>
    <t>Програма забезпечення відкритості в діяльності Житомирської районної ради та Житомирської районної державної адміністрації на 2018-2020 роки, рішення районної ради від 22.12.2017 № 513</t>
  </si>
  <si>
    <t>Надходження від плати за послуги, що надаються бюджетними установами згідно із законодавством</t>
  </si>
  <si>
    <t>21050000</t>
  </si>
  <si>
    <t>Надходження від штрафів та фінансових санкцій</t>
  </si>
  <si>
    <t>На початок періоду</t>
  </si>
  <si>
    <t>Ліквідація іншого забруднення навколишнього природного середовища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</si>
  <si>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</si>
  <si>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Троянівська с/р</t>
  </si>
  <si>
    <t>Новогуйвинська с/р</t>
  </si>
  <si>
    <t xml:space="preserve">    Заступник голови районної ради</t>
  </si>
  <si>
    <t>11011200</t>
  </si>
  <si>
    <t>41021800</t>
  </si>
  <si>
    <t>Додаткова дотація з державного бюджету місцевим бюджетам на оплату праці працівників бюджетних установ</t>
  </si>
  <si>
    <t>Високопічська с/р</t>
  </si>
  <si>
    <t>Глибочанська с/р</t>
  </si>
  <si>
    <t>Глибочицька с/р</t>
  </si>
  <si>
    <t>Стабілізаційна дотація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</si>
  <si>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</si>
  <si>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</si>
  <si>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</si>
  <si>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Інші заходи у сфері сільського господарства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</si>
  <si>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</si>
  <si>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Плата за ліцензії на певні види господарської діяльності</t>
  </si>
  <si>
    <t>23030300</t>
  </si>
  <si>
    <t>11010600</t>
  </si>
  <si>
    <t>Податок надоходи фізичних осіб у вигляді виграшів або призів, отриманих внаслідок проведення конкурсів та інших розіграшів, виграшів а тазартні ігри</t>
  </si>
  <si>
    <t>3718700</t>
  </si>
  <si>
    <t>8700</t>
  </si>
  <si>
    <t>9770</t>
  </si>
  <si>
    <t>Інші субвенції з місцевого бюджету</t>
  </si>
  <si>
    <t>7610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</si>
  <si>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</si>
  <si>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</si>
  <si>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</si>
  <si>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</si>
  <si>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</si>
  <si>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Надання державної соціальної допомоги особам з інвалідністю з дитинства та дітям з інвалідністю</t>
  </si>
  <si>
    <t>Відділ освіти, національно-патріотичного виховання молоді та спорту Житомирської районної державної адміністрації</t>
  </si>
  <si>
    <t>Програма економічного і соціального розвитку Житомирського району на 2019 рік (проект)</t>
  </si>
  <si>
    <t xml:space="preserve">Рішення районної ради від 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</si>
  <si>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</si>
  <si>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0900000</t>
  </si>
  <si>
    <t>Служба у справах дітей Житомирської районної адміністрації</t>
  </si>
  <si>
    <t>0910000</t>
  </si>
  <si>
    <t>0913112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</si>
  <si>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</si>
  <si>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</si>
  <si>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</si>
  <si>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</si>
  <si>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</si>
  <si>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</si>
  <si>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1218110</t>
  </si>
  <si>
    <t>8110</t>
  </si>
  <si>
    <t>Заходи запобігання та ліквідації надзвичайних ситуацій та наслідків стихійного лиха</t>
  </si>
  <si>
    <t>3011,3012,3013,3014,3015</t>
  </si>
  <si>
    <t>0813011</t>
  </si>
  <si>
    <t>до рішення районної ради</t>
  </si>
  <si>
    <t>41053900</t>
  </si>
  <si>
    <t>додаток 8</t>
  </si>
  <si>
    <t>викл.</t>
  </si>
  <si>
    <t>0813192</t>
  </si>
  <si>
    <t xml:space="preserve">Обсяги міжбюджетних трансфертів (іншої субвенції) на утримання закладів дошкільної освіти та культури на 2019 рік </t>
  </si>
  <si>
    <t>Рішення районної ради від 29.07.2016  № 133</t>
  </si>
  <si>
    <t>41052900</t>
  </si>
  <si>
    <t>41052600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</si>
  <si>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</si>
  <si>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</si>
  <si>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3719610</t>
  </si>
  <si>
    <t>9610</t>
  </si>
  <si>
    <t>УПСЗН на надання інших пільг окремим категоріям громадян Станишівської сільської ради відповідно до законодавства</t>
  </si>
  <si>
    <t>УПСЗН на надання пільг окремим категоріям громадян Станишівської сільської ради з оплати послуг зв'язку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</si>
  <si>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</si>
  <si>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дод. №1</t>
  </si>
  <si>
    <t>розбіжності</t>
  </si>
  <si>
    <t>3016</t>
  </si>
  <si>
    <t>7610000</t>
  </si>
  <si>
    <t>1090</t>
  </si>
  <si>
    <t>1000000</t>
  </si>
  <si>
    <t>1220</t>
  </si>
  <si>
    <t>1030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</si>
  <si>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</si>
  <si>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06100000000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</si>
  <si>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</si>
  <si>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</si>
  <si>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 тому числі цільові видатки на:</t>
  </si>
  <si>
    <t>лікування хворих на цукровий та нецукровий діабет</t>
  </si>
  <si>
    <t>у тому числі на:</t>
  </si>
  <si>
    <t>оплату праці педагогічних працівників інклюзивно-ресурсних центрів</t>
  </si>
  <si>
    <t>оплату праці педагогічних працівників, залучених до занять з учнями, що знаходяться на тривалому лікуванні у протитуберкульозному диспансері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</si>
  <si>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</si>
  <si>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оплату за проведення корекційно-розвиткових занять і придбання спеціальних засобів корекції для учнів інклюзивних класів (видатки споживання)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</si>
  <si>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(на зимове утримання місцевих доріг)</t>
  </si>
  <si>
    <t>співфінансування на придбання комп’ютерного томографа для КНП "Центральна районна лікарня" ЖРР</t>
  </si>
  <si>
    <t>на пільгове медичне обслуговування осіб, які постраждали внаслідок Чорнобильської катастрофи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</si>
  <si>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2018- 2022 роки</t>
  </si>
  <si>
    <t>на виконання Районної (комплексної) цільової соціальної Програми забезпечення житлом дітей-сиріт, дітей позбавлених батьківського піклування, та осіб з їх числа на 2018-2022  роки (на капітальний ремонт житла у с. Висока Піч, яке належить особі з числа дітей, позбавлених батьківського піклування Ессауловій А.В. та Ессаулову С.Р.)</t>
  </si>
  <si>
    <t>на виконання Районної (комплексної) цільової соціальної Програми забезпечення житлом дітей-сиріт, дітей позбавлених батьківського піклування, та осіб з їх числа на 2018-2022  роки (на придбання житла,  особі з числа дітей, позбавлених батьківського піклування Мамренко Л.Ж., походження якої с. Іванівка)</t>
  </si>
  <si>
    <t xml:space="preserve">              Додаток №4</t>
  </si>
  <si>
    <t xml:space="preserve">            Додаток № 5</t>
  </si>
  <si>
    <t>Рішення районної ради від 21.12.2018 № 752</t>
  </si>
  <si>
    <t>Рішення районної ради від 21.12.2018 № 758</t>
  </si>
  <si>
    <t>Рішення районної ради від 21.12.2018 № 762</t>
  </si>
  <si>
    <t>Рішення районної ради від 21.12.2018 №765</t>
  </si>
  <si>
    <t>Рішення районної ради від 21.12.2018 № 766</t>
  </si>
  <si>
    <t>Рішення районної ради від 21.12.2018 № 795</t>
  </si>
  <si>
    <t>Рішення районної ради від 21.12.2018 № 796</t>
  </si>
  <si>
    <t>Рішення районної ради від 21.12.2018 № 798</t>
  </si>
  <si>
    <t>Рішення районної ради від 21.12.2018 № 765</t>
  </si>
  <si>
    <t>Програма стимулювання населення, ОСББ, ЖБК Житомирського району щодо ефективного використання енергетичних ресурсів та енергозбереження на 2019-2020 роки</t>
  </si>
  <si>
    <t xml:space="preserve">Комплексна програма розвитку цивільного захисту населення Житомирського району на 2019-2020 роки </t>
  </si>
  <si>
    <t xml:space="preserve">Програма надання окремих видів пільг громадянам Житомирського району на 2019 рік </t>
  </si>
  <si>
    <t xml:space="preserve">Програма економічного і соціального розвитку Житомирського району на 2019 рік </t>
  </si>
  <si>
    <t xml:space="preserve">Програма  розвитку та удосконалення організації харчування в загальноосвітніх навчальних закладах Житомирського району на 2019 рік </t>
  </si>
  <si>
    <t xml:space="preserve">Програма фінансової підтримки КНП ЦПМСД Житомирської районної ради на 2019 рік </t>
  </si>
  <si>
    <t>Бюджет Березівської сільської ради</t>
  </si>
  <si>
    <t>Бюджет Василівської сільської ради</t>
  </si>
  <si>
    <t>Бюджет Вертокиївської сільської ради</t>
  </si>
  <si>
    <t>Бюджет Високопічської сільської ради</t>
  </si>
  <si>
    <t>Бюджет Глибочанської сільської ради</t>
  </si>
  <si>
    <t>Бюджет Головенківської сільської ради</t>
  </si>
  <si>
    <t>Бюджет Заможненської сільської ради</t>
  </si>
  <si>
    <t>Бюджет Іванівської сільської ради</t>
  </si>
  <si>
    <t>Бюджет Коднянської сільської ради</t>
  </si>
  <si>
    <t>Бюджет Левківської сільської ради</t>
  </si>
  <si>
    <t>Бюджет Миролюбівської сільської ради</t>
  </si>
  <si>
    <t>Бюджет Озерянківської сільської ради</t>
  </si>
  <si>
    <t>Бюджет Руднє-Городищенської сільської ради</t>
  </si>
  <si>
    <t>Бюджет Садківської сільської ради</t>
  </si>
  <si>
    <t>Бюджет Сінгурівської сільської ради</t>
  </si>
  <si>
    <t>Бюджет Троянівської сільської ради</t>
  </si>
  <si>
    <t>Бюджет Новогуйвинської селищної ради</t>
  </si>
  <si>
    <t>Бюджет міста Житомира</t>
  </si>
  <si>
    <t>Разом по бюджетах селищ</t>
  </si>
  <si>
    <t>Разом по місцевих бюджетах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</si>
  <si>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</si>
  <si>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</si>
  <si>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</si>
  <si>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спеціальний фонд</t>
  </si>
  <si>
    <t>Всього:</t>
  </si>
  <si>
    <t>Місцевий бюджет якому надається субвенція</t>
  </si>
  <si>
    <t>на виконання п.20 Прикінцевих та перехідних положень Бюджетного кодексу України</t>
  </si>
  <si>
    <t>41021700</t>
  </si>
  <si>
    <t>41010600</t>
  </si>
  <si>
    <t>30000000</t>
  </si>
  <si>
    <t>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</si>
  <si>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</si>
  <si>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>Доходи від операцій з капіталом</t>
  </si>
  <si>
    <t>Кошти від прожажу землі і нематеріальних активів</t>
  </si>
  <si>
    <t>33010000</t>
  </si>
  <si>
    <t>Кошти від продажу землі</t>
  </si>
  <si>
    <t>0217462</t>
  </si>
  <si>
    <t>7462</t>
  </si>
  <si>
    <t>з них:</t>
  </si>
  <si>
    <t>3034</t>
  </si>
  <si>
    <t>Надання пільг окремим категоріям громадян з оплати послуг зв'язку</t>
  </si>
  <si>
    <t>Надходження бюджетних установ від реалізації в установленому порядку майна (крім нерухомого майна)</t>
  </si>
  <si>
    <t>Спеціальний фонд</t>
  </si>
  <si>
    <t>Інші дотації</t>
  </si>
  <si>
    <t>41020900</t>
  </si>
  <si>
    <t xml:space="preserve">            до рішення районної ради</t>
  </si>
  <si>
    <t>утримання закладів культури</t>
  </si>
  <si>
    <t>в т.ч. на:</t>
  </si>
  <si>
    <t>на реконструкцію чи капітальний ремонт житла</t>
  </si>
  <si>
    <t>на придбання житла</t>
  </si>
  <si>
    <t>Разом по бюджетах сіл</t>
  </si>
  <si>
    <t>Розподіл витрат районного бюджету на реалізацію місцевих / регіональних програм у 2019 році</t>
  </si>
  <si>
    <t>(грн)</t>
  </si>
  <si>
    <t>Обласний бюджет Житомирської області</t>
  </si>
  <si>
    <t>Бюджет Глибочицької сільської об’єднаної територіальної громади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</si>
</sst>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;\-0.0;"/>
    <numFmt numFmtId="201" formatCode="0;\-0;"/>
    <numFmt numFmtId="202" formatCode="0.00;\-0.00;"/>
    <numFmt numFmtId="203" formatCode="0.00000"/>
    <numFmt numFmtId="204" formatCode="0.000"/>
    <numFmt numFmtId="205" formatCode="[$€-2]\ ###,000_);[Red]\([$€-2]\ ###,000\)"/>
    <numFmt numFmtId="206" formatCode="0.0%"/>
    <numFmt numFmtId="207" formatCode="[$-422]d\ mmmm\ yyyy&quot; р.&quot;"/>
    <numFmt numFmtId="208" formatCode="hh:mm:ss"/>
    <numFmt numFmtId="209" formatCode="#,##0.0"/>
    <numFmt numFmtId="210" formatCode="0.0000"/>
    <numFmt numFmtId="211" formatCode="\+0;\-0;0"/>
    <numFmt numFmtId="212" formatCode="0.000000"/>
    <numFmt numFmtId="213" formatCode="#,##0.000"/>
    <numFmt numFmtId="214" formatCode="#,##0.0000"/>
  </numFmts>
  <fonts count="8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Arial Cyr"/>
      <family val="0"/>
    </font>
    <font>
      <b/>
      <sz val="16"/>
      <name val="Arial Narrow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1"/>
      <color indexed="14"/>
      <name val="Times New Roman"/>
      <family val="1"/>
    </font>
    <font>
      <sz val="12"/>
      <color indexed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i/>
      <sz val="11"/>
      <name val="Arial"/>
      <family val="2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8"/>
      <name val="Arial Narrow"/>
      <family val="2"/>
    </font>
    <font>
      <b/>
      <sz val="11"/>
      <name val="Times New Roman"/>
      <family val="1"/>
    </font>
    <font>
      <sz val="11"/>
      <color indexed="14"/>
      <name val="Arial"/>
      <family val="2"/>
    </font>
    <font>
      <b/>
      <i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20"/>
      <name val="Times New Roman"/>
      <family val="1"/>
    </font>
    <font>
      <sz val="20"/>
      <name val="Arial Cyr"/>
      <family val="0"/>
    </font>
    <font>
      <sz val="16"/>
      <color indexed="10"/>
      <name val="Arial Cyr"/>
      <family val="0"/>
    </font>
    <font>
      <sz val="16"/>
      <color indexed="8"/>
      <name val="Times New Roman"/>
      <family val="1"/>
    </font>
    <font>
      <sz val="16"/>
      <name val="Arial Narrow"/>
      <family val="2"/>
    </font>
    <font>
      <sz val="12"/>
      <name val="Arial Narrow"/>
      <family val="2"/>
    </font>
    <font>
      <sz val="13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4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" borderId="0" applyNumberFormat="0" applyBorder="0" applyAlignment="0" applyProtection="0"/>
  </cellStyleXfs>
  <cellXfs count="903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3" fontId="13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top" wrapText="1" inden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justify" wrapText="1"/>
    </xf>
    <xf numFmtId="3" fontId="1" fillId="0" borderId="0" xfId="0" applyNumberFormat="1" applyFont="1" applyFill="1" applyAlignment="1">
      <alignment horizontal="justify" wrapText="1"/>
    </xf>
    <xf numFmtId="3" fontId="6" fillId="0" borderId="0" xfId="0" applyNumberFormat="1" applyFont="1" applyFill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/>
    </xf>
    <xf numFmtId="4" fontId="13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3" fillId="0" borderId="11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1" fillId="17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20" fillId="25" borderId="0" xfId="0" applyFont="1" applyFill="1" applyAlignment="1">
      <alignment/>
    </xf>
    <xf numFmtId="3" fontId="20" fillId="25" borderId="0" xfId="0" applyNumberFormat="1" applyFont="1" applyFill="1" applyAlignment="1">
      <alignment/>
    </xf>
    <xf numFmtId="3" fontId="1" fillId="0" borderId="0" xfId="0" applyNumberFormat="1" applyFont="1" applyAlignment="1">
      <alignment horizontal="left" wrapText="1" indent="6"/>
    </xf>
    <xf numFmtId="3" fontId="0" fillId="0" borderId="0" xfId="0" applyNumberFormat="1" applyAlignment="1">
      <alignment horizontal="left" wrapText="1" indent="6"/>
    </xf>
    <xf numFmtId="3" fontId="11" fillId="17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3" fontId="15" fillId="25" borderId="10" xfId="0" applyNumberFormat="1" applyFont="1" applyFill="1" applyBorder="1" applyAlignment="1">
      <alignment vertical="center"/>
    </xf>
    <xf numFmtId="3" fontId="32" fillId="24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0" xfId="0" applyFont="1" applyAlignment="1">
      <alignment/>
    </xf>
    <xf numFmtId="0" fontId="8" fillId="26" borderId="10" xfId="0" applyFont="1" applyFill="1" applyBorder="1" applyAlignment="1">
      <alignment/>
    </xf>
    <xf numFmtId="0" fontId="8" fillId="26" borderId="0" xfId="0" applyFont="1" applyFill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4" fontId="15" fillId="0" borderId="10" xfId="0" applyNumberFormat="1" applyFont="1" applyBorder="1" applyAlignment="1">
      <alignment vertical="center"/>
    </xf>
    <xf numFmtId="49" fontId="29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3" fillId="0" borderId="0" xfId="0" applyFont="1" applyAlignment="1">
      <alignment/>
    </xf>
    <xf numFmtId="0" fontId="30" fillId="0" borderId="0" xfId="0" applyFont="1" applyAlignment="1">
      <alignment horizontal="right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196" fontId="2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9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96" fontId="20" fillId="24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1" fontId="4" fillId="0" borderId="10" xfId="0" applyNumberFormat="1" applyFont="1" applyBorder="1" applyAlignment="1">
      <alignment wrapText="1"/>
    </xf>
    <xf numFmtId="0" fontId="33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/>
    </xf>
    <xf numFmtId="0" fontId="33" fillId="25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204" fontId="33" fillId="0" borderId="0" xfId="0" applyNumberFormat="1" applyFont="1" applyBorder="1" applyAlignment="1">
      <alignment/>
    </xf>
    <xf numFmtId="4" fontId="33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4" fontId="33" fillId="0" borderId="10" xfId="54" applyNumberFormat="1" applyFont="1" applyFill="1" applyBorder="1" applyAlignment="1">
      <alignment horizontal="center" vertical="center" wrapText="1"/>
      <protection/>
    </xf>
    <xf numFmtId="4" fontId="33" fillId="0" borderId="0" xfId="0" applyNumberFormat="1" applyFont="1" applyAlignment="1">
      <alignment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" fontId="33" fillId="0" borderId="0" xfId="0" applyNumberFormat="1" applyFont="1" applyAlignment="1">
      <alignment/>
    </xf>
    <xf numFmtId="4" fontId="36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49" fontId="43" fillId="24" borderId="10" xfId="0" applyNumberFormat="1" applyFont="1" applyFill="1" applyBorder="1" applyAlignment="1">
      <alignment horizontal="center" vertical="center"/>
    </xf>
    <xf numFmtId="3" fontId="44" fillId="24" borderId="0" xfId="0" applyNumberFormat="1" applyFont="1" applyFill="1" applyAlignment="1">
      <alignment vertical="center"/>
    </xf>
    <xf numFmtId="49" fontId="18" fillId="24" borderId="10" xfId="0" applyNumberFormat="1" applyFont="1" applyFill="1" applyBorder="1" applyAlignment="1">
      <alignment horizontal="center" vertical="center"/>
    </xf>
    <xf numFmtId="3" fontId="6" fillId="24" borderId="0" xfId="0" applyNumberFormat="1" applyFont="1" applyFill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Alignment="1">
      <alignment vertical="center"/>
    </xf>
    <xf numFmtId="49" fontId="43" fillId="24" borderId="13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/>
    </xf>
    <xf numFmtId="4" fontId="33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3" fillId="0" borderId="10" xfId="55" applyNumberFormat="1" applyFont="1" applyFill="1" applyBorder="1" applyAlignment="1">
      <alignment horizontal="center" wrapText="1"/>
      <protection/>
    </xf>
    <xf numFmtId="4" fontId="4" fillId="24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wrapText="1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0" fontId="33" fillId="24" borderId="0" xfId="0" applyFont="1" applyFill="1" applyAlignment="1">
      <alignment horizontal="right"/>
    </xf>
    <xf numFmtId="0" fontId="33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/>
    </xf>
    <xf numFmtId="3" fontId="32" fillId="24" borderId="0" xfId="0" applyNumberFormat="1" applyFont="1" applyFill="1" applyBorder="1" applyAlignment="1">
      <alignment/>
    </xf>
    <xf numFmtId="2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 wrapText="1"/>
    </xf>
    <xf numFmtId="204" fontId="33" fillId="24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3" fillId="24" borderId="0" xfId="0" applyFont="1" applyFill="1" applyAlignment="1">
      <alignment horizontal="right" wrapText="1"/>
    </xf>
    <xf numFmtId="0" fontId="33" fillId="24" borderId="0" xfId="0" applyFont="1" applyFill="1" applyAlignment="1">
      <alignment wrapText="1"/>
    </xf>
    <xf numFmtId="0" fontId="30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right"/>
    </xf>
    <xf numFmtId="4" fontId="47" fillId="25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33" fillId="0" borderId="0" xfId="0" applyNumberFormat="1" applyFont="1" applyFill="1" applyBorder="1" applyAlignment="1">
      <alignment wrapText="1"/>
    </xf>
    <xf numFmtId="3" fontId="33" fillId="24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23" fillId="0" borderId="0" xfId="0" applyNumberFormat="1" applyFont="1" applyAlignment="1">
      <alignment wrapText="1"/>
    </xf>
    <xf numFmtId="0" fontId="23" fillId="24" borderId="0" xfId="0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4" fontId="48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left"/>
    </xf>
    <xf numFmtId="4" fontId="23" fillId="0" borderId="13" xfId="0" applyNumberFormat="1" applyFont="1" applyFill="1" applyBorder="1" applyAlignment="1">
      <alignment horizontal="center" wrapText="1"/>
    </xf>
    <xf numFmtId="1" fontId="33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justify" vertical="top" wrapText="1"/>
    </xf>
    <xf numFmtId="0" fontId="33" fillId="0" borderId="14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  <xf numFmtId="0" fontId="23" fillId="0" borderId="0" xfId="0" applyNumberFormat="1" applyFont="1" applyAlignment="1">
      <alignment horizontal="right" wrapText="1"/>
    </xf>
    <xf numFmtId="4" fontId="20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0" fontId="28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27" fillId="0" borderId="11" xfId="0" applyNumberFormat="1" applyFont="1" applyBorder="1" applyAlignment="1">
      <alignment vertical="center"/>
    </xf>
    <xf numFmtId="0" fontId="49" fillId="26" borderId="10" xfId="0" applyFont="1" applyFill="1" applyBorder="1" applyAlignment="1">
      <alignment/>
    </xf>
    <xf numFmtId="3" fontId="28" fillId="26" borderId="10" xfId="0" applyNumberFormat="1" applyFont="1" applyFill="1" applyBorder="1" applyAlignment="1">
      <alignment/>
    </xf>
    <xf numFmtId="3" fontId="28" fillId="26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0" fontId="23" fillId="17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Alignment="1">
      <alignment/>
    </xf>
    <xf numFmtId="4" fontId="51" fillId="0" borderId="11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33" fillId="0" borderId="10" xfId="54" applyNumberFormat="1" applyFont="1" applyFill="1" applyBorder="1" applyAlignment="1">
      <alignment wrapText="1"/>
      <protection/>
    </xf>
    <xf numFmtId="4" fontId="28" fillId="26" borderId="10" xfId="0" applyNumberFormat="1" applyFont="1" applyFill="1" applyBorder="1" applyAlignment="1">
      <alignment/>
    </xf>
    <xf numFmtId="49" fontId="43" fillId="24" borderId="10" xfId="0" applyNumberFormat="1" applyFont="1" applyFill="1" applyBorder="1" applyAlignment="1">
      <alignment horizontal="center" vertical="center" wrapText="1"/>
    </xf>
    <xf numFmtId="49" fontId="43" fillId="27" borderId="10" xfId="0" applyNumberFormat="1" applyFont="1" applyFill="1" applyBorder="1" applyAlignment="1">
      <alignment horizontal="center" vertical="center"/>
    </xf>
    <xf numFmtId="49" fontId="43" fillId="27" borderId="10" xfId="0" applyNumberFormat="1" applyFont="1" applyFill="1" applyBorder="1" applyAlignment="1">
      <alignment horizontal="center" vertical="center" wrapText="1"/>
    </xf>
    <xf numFmtId="49" fontId="43" fillId="26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24" borderId="0" xfId="0" applyNumberFormat="1" applyFont="1" applyFill="1" applyAlignment="1">
      <alignment vertical="center"/>
    </xf>
    <xf numFmtId="3" fontId="19" fillId="24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53" fillId="24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justify" wrapText="1"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justify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vertical="center"/>
    </xf>
    <xf numFmtId="49" fontId="3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7" fillId="22" borderId="0" xfId="0" applyNumberFormat="1" applyFont="1" applyFill="1" applyBorder="1" applyAlignment="1">
      <alignment horizontal="center" vertical="center"/>
    </xf>
    <xf numFmtId="49" fontId="7" fillId="22" borderId="0" xfId="0" applyNumberFormat="1" applyFont="1" applyFill="1" applyBorder="1" applyAlignment="1">
      <alignment horizontal="center" vertical="center"/>
    </xf>
    <xf numFmtId="3" fontId="7" fillId="22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3" fontId="7" fillId="22" borderId="0" xfId="0" applyNumberFormat="1" applyFont="1" applyFill="1" applyBorder="1" applyAlignment="1">
      <alignment horizontal="justify" vertical="center" wrapText="1"/>
    </xf>
    <xf numFmtId="0" fontId="4" fillId="24" borderId="12" xfId="0" applyNumberFormat="1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55" fillId="4" borderId="10" xfId="0" applyNumberFormat="1" applyFont="1" applyFill="1" applyBorder="1" applyAlignment="1">
      <alignment horizontal="center"/>
    </xf>
    <xf numFmtId="3" fontId="55" fillId="4" borderId="10" xfId="0" applyNumberFormat="1" applyFont="1" applyFill="1" applyBorder="1" applyAlignment="1">
      <alignment horizontal="left" vertical="top" wrapText="1"/>
    </xf>
    <xf numFmtId="4" fontId="55" fillId="4" borderId="10" xfId="0" applyNumberFormat="1" applyFont="1" applyFill="1" applyBorder="1" applyAlignment="1">
      <alignment horizontal="right"/>
    </xf>
    <xf numFmtId="49" fontId="55" fillId="4" borderId="10" xfId="0" applyNumberFormat="1" applyFont="1" applyFill="1" applyBorder="1" applyAlignment="1">
      <alignment horizontal="center" vertical="center"/>
    </xf>
    <xf numFmtId="3" fontId="55" fillId="4" borderId="10" xfId="0" applyNumberFormat="1" applyFont="1" applyFill="1" applyBorder="1" applyAlignment="1">
      <alignment horizontal="justify" vertical="top" wrapText="1"/>
    </xf>
    <xf numFmtId="4" fontId="55" fillId="4" borderId="10" xfId="0" applyNumberFormat="1" applyFont="1" applyFill="1" applyBorder="1" applyAlignment="1">
      <alignment vertical="top"/>
    </xf>
    <xf numFmtId="4" fontId="55" fillId="0" borderId="10" xfId="0" applyNumberFormat="1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vertical="top"/>
    </xf>
    <xf numFmtId="4" fontId="55" fillId="24" borderId="10" xfId="0" applyNumberFormat="1" applyFont="1" applyFill="1" applyBorder="1" applyAlignment="1">
      <alignment vertical="top"/>
    </xf>
    <xf numFmtId="49" fontId="20" fillId="4" borderId="10" xfId="0" applyNumberFormat="1" applyFont="1" applyFill="1" applyBorder="1" applyAlignment="1">
      <alignment horizontal="center" vertical="center"/>
    </xf>
    <xf numFmtId="3" fontId="55" fillId="4" borderId="10" xfId="0" applyNumberFormat="1" applyFont="1" applyFill="1" applyBorder="1" applyAlignment="1">
      <alignment horizontal="center" vertical="center"/>
    </xf>
    <xf numFmtId="0" fontId="55" fillId="4" borderId="10" xfId="0" applyNumberFormat="1" applyFont="1" applyFill="1" applyBorder="1" applyAlignment="1">
      <alignment horizontal="center" vertical="center"/>
    </xf>
    <xf numFmtId="1" fontId="55" fillId="4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justify" vertical="center" wrapText="1"/>
    </xf>
    <xf numFmtId="1" fontId="55" fillId="4" borderId="10" xfId="0" applyNumberFormat="1" applyFont="1" applyFill="1" applyBorder="1" applyAlignment="1">
      <alignment horizontal="justify" vertical="top" wrapText="1"/>
    </xf>
    <xf numFmtId="49" fontId="4" fillId="4" borderId="10" xfId="0" applyNumberFormat="1" applyFont="1" applyFill="1" applyBorder="1" applyAlignment="1">
      <alignment horizontal="justify"/>
    </xf>
    <xf numFmtId="0" fontId="33" fillId="24" borderId="10" xfId="0" applyFont="1" applyFill="1" applyBorder="1" applyAlignment="1">
      <alignment horizontal="justify" vertical="top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/>
    </xf>
    <xf numFmtId="4" fontId="33" fillId="24" borderId="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wrapText="1"/>
    </xf>
    <xf numFmtId="3" fontId="1" fillId="24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49" fontId="4" fillId="4" borderId="10" xfId="0" applyNumberFormat="1" applyFont="1" applyFill="1" applyBorder="1" applyAlignment="1">
      <alignment horizontal="justify" vertical="top"/>
    </xf>
    <xf numFmtId="4" fontId="8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vertical="center"/>
    </xf>
    <xf numFmtId="0" fontId="57" fillId="0" borderId="10" xfId="0" applyNumberFormat="1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57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1" fillId="20" borderId="10" xfId="0" applyNumberFormat="1" applyFont="1" applyFill="1" applyBorder="1" applyAlignment="1">
      <alignment vertical="center" wrapText="1"/>
    </xf>
    <xf numFmtId="0" fontId="58" fillId="20" borderId="0" xfId="0" applyFont="1" applyFill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28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justify" vertical="top"/>
    </xf>
    <xf numFmtId="0" fontId="8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/>
    </xf>
    <xf numFmtId="49" fontId="57" fillId="0" borderId="10" xfId="0" applyNumberFormat="1" applyFont="1" applyFill="1" applyBorder="1" applyAlignment="1">
      <alignment horizontal="justify" vertical="top"/>
    </xf>
    <xf numFmtId="0" fontId="57" fillId="0" borderId="10" xfId="0" applyNumberFormat="1" applyFont="1" applyFill="1" applyBorder="1" applyAlignment="1">
      <alignment horizontal="justify" vertical="top" wrapText="1"/>
    </xf>
    <xf numFmtId="49" fontId="1" fillId="20" borderId="10" xfId="0" applyNumberFormat="1" applyFont="1" applyFill="1" applyBorder="1" applyAlignment="1">
      <alignment horizontal="justify" vertical="top"/>
    </xf>
    <xf numFmtId="0" fontId="1" fillId="20" borderId="10" xfId="0" applyNumberFormat="1" applyFont="1" applyFill="1" applyBorder="1" applyAlignment="1">
      <alignment horizontal="justify" vertical="top" wrapText="1"/>
    </xf>
    <xf numFmtId="0" fontId="58" fillId="20" borderId="0" xfId="0" applyFont="1" applyFill="1" applyAlignment="1">
      <alignment horizontal="justify" vertical="top" wrapText="1"/>
    </xf>
    <xf numFmtId="49" fontId="1" fillId="24" borderId="10" xfId="0" applyNumberFormat="1" applyFont="1" applyFill="1" applyBorder="1" applyAlignment="1">
      <alignment horizontal="justify" vertical="top"/>
    </xf>
    <xf numFmtId="0" fontId="1" fillId="24" borderId="10" xfId="0" applyNumberFormat="1" applyFont="1" applyFill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" fontId="1" fillId="24" borderId="10" xfId="0" applyNumberFormat="1" applyFont="1" applyFill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justify"/>
    </xf>
    <xf numFmtId="4" fontId="4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62" applyNumberFormat="1" applyFont="1" applyBorder="1" applyAlignment="1">
      <alignment vertical="top" wrapText="1"/>
      <protection/>
    </xf>
    <xf numFmtId="4" fontId="0" fillId="0" borderId="10" xfId="0" applyNumberFormat="1" applyFill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33" fillId="22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vertical="top"/>
    </xf>
    <xf numFmtId="1" fontId="20" fillId="4" borderId="10" xfId="0" applyNumberFormat="1" applyFont="1" applyFill="1" applyBorder="1" applyAlignment="1">
      <alignment horizontal="center" vertical="center"/>
    </xf>
    <xf numFmtId="3" fontId="55" fillId="4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vertical="top"/>
    </xf>
    <xf numFmtId="49" fontId="43" fillId="24" borderId="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4" fontId="33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/>
    </xf>
    <xf numFmtId="4" fontId="23" fillId="1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3" fillId="24" borderId="0" xfId="0" applyNumberFormat="1" applyFont="1" applyFill="1" applyAlignment="1">
      <alignment horizontal="right"/>
    </xf>
    <xf numFmtId="49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4" fontId="23" fillId="0" borderId="1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6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3" fillId="25" borderId="0" xfId="0" applyNumberFormat="1" applyFont="1" applyFill="1" applyAlignment="1">
      <alignment vertical="center"/>
    </xf>
    <xf numFmtId="4" fontId="23" fillId="25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33" fillId="0" borderId="14" xfId="0" applyFont="1" applyFill="1" applyBorder="1" applyAlignment="1">
      <alignment horizontal="left" vertical="top" wrapText="1"/>
    </xf>
    <xf numFmtId="0" fontId="33" fillId="0" borderId="10" xfId="0" applyNumberFormat="1" applyFont="1" applyFill="1" applyBorder="1" applyAlignment="1">
      <alignment horizontal="justify" vertical="top" wrapText="1"/>
    </xf>
    <xf numFmtId="3" fontId="4" fillId="4" borderId="12" xfId="0" applyNumberFormat="1" applyFont="1" applyFill="1" applyBorder="1" applyAlignment="1">
      <alignment horizontal="justify" vertical="center" wrapText="1"/>
    </xf>
    <xf numFmtId="3" fontId="33" fillId="22" borderId="10" xfId="0" applyNumberFormat="1" applyFont="1" applyFill="1" applyBorder="1" applyAlignment="1">
      <alignment horizontal="justify" vertical="center" wrapText="1"/>
    </xf>
    <xf numFmtId="1" fontId="4" fillId="4" borderId="10" xfId="0" applyNumberFormat="1" applyFont="1" applyFill="1" applyBorder="1" applyAlignment="1">
      <alignment horizontal="justify" vertical="center" wrapText="1"/>
    </xf>
    <xf numFmtId="3" fontId="4" fillId="4" borderId="10" xfId="0" applyNumberFormat="1" applyFont="1" applyFill="1" applyBorder="1" applyAlignment="1">
      <alignment horizontal="justify" vertical="center" wrapText="1"/>
    </xf>
    <xf numFmtId="3" fontId="33" fillId="0" borderId="14" xfId="0" applyNumberFormat="1" applyFont="1" applyFill="1" applyBorder="1" applyAlignment="1">
      <alignment horizontal="justify" vertical="center" wrapText="1"/>
    </xf>
    <xf numFmtId="4" fontId="33" fillId="24" borderId="10" xfId="0" applyNumberFormat="1" applyFont="1" applyFill="1" applyBorder="1" applyAlignment="1">
      <alignment horizontal="center" wrapText="1"/>
    </xf>
    <xf numFmtId="0" fontId="0" fillId="25" borderId="0" xfId="0" applyFill="1" applyAlignment="1">
      <alignment/>
    </xf>
    <xf numFmtId="4" fontId="33" fillId="24" borderId="10" xfId="0" applyNumberFormat="1" applyFont="1" applyFill="1" applyBorder="1" applyAlignment="1">
      <alignment horizontal="justify" vertical="top" wrapText="1"/>
    </xf>
    <xf numFmtId="4" fontId="0" fillId="24" borderId="0" xfId="0" applyNumberFormat="1" applyFill="1" applyAlignment="1">
      <alignment/>
    </xf>
    <xf numFmtId="1" fontId="48" fillId="0" borderId="0" xfId="0" applyNumberFormat="1" applyFont="1" applyAlignment="1">
      <alignment/>
    </xf>
    <xf numFmtId="4" fontId="23" fillId="0" borderId="1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wrapText="1"/>
    </xf>
    <xf numFmtId="0" fontId="33" fillId="24" borderId="18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17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top"/>
    </xf>
    <xf numFmtId="49" fontId="8" fillId="24" borderId="10" xfId="0" applyNumberFormat="1" applyFont="1" applyFill="1" applyBorder="1" applyAlignment="1">
      <alignment horizontal="justify" vertical="top"/>
    </xf>
    <xf numFmtId="0" fontId="8" fillId="24" borderId="10" xfId="0" applyNumberFormat="1" applyFont="1" applyFill="1" applyBorder="1" applyAlignment="1">
      <alignment horizontal="justify" vertical="top" wrapText="1"/>
    </xf>
    <xf numFmtId="3" fontId="8" fillId="24" borderId="10" xfId="0" applyNumberFormat="1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4" fontId="11" fillId="24" borderId="10" xfId="0" applyNumberFormat="1" applyFont="1" applyFill="1" applyBorder="1" applyAlignment="1">
      <alignment vertical="center"/>
    </xf>
    <xf numFmtId="49" fontId="57" fillId="24" borderId="10" xfId="0" applyNumberFormat="1" applyFont="1" applyFill="1" applyBorder="1" applyAlignment="1">
      <alignment horizontal="justify" vertical="top"/>
    </xf>
    <xf numFmtId="4" fontId="1" fillId="24" borderId="10" xfId="0" applyNumberFormat="1" applyFont="1" applyFill="1" applyBorder="1" applyAlignment="1">
      <alignment vertical="center" wrapText="1"/>
    </xf>
    <xf numFmtId="4" fontId="57" fillId="24" borderId="10" xfId="0" applyNumberFormat="1" applyFont="1" applyFill="1" applyBorder="1" applyAlignment="1">
      <alignment vertical="center"/>
    </xf>
    <xf numFmtId="213" fontId="1" fillId="24" borderId="10" xfId="0" applyNumberFormat="1" applyFont="1" applyFill="1" applyBorder="1" applyAlignment="1">
      <alignment vertical="center"/>
    </xf>
    <xf numFmtId="4" fontId="33" fillId="24" borderId="12" xfId="0" applyNumberFormat="1" applyFont="1" applyFill="1" applyBorder="1" applyAlignment="1">
      <alignment horizontal="left" vertical="top" wrapText="1"/>
    </xf>
    <xf numFmtId="4" fontId="33" fillId="24" borderId="10" xfId="54" applyNumberFormat="1" applyFont="1" applyFill="1" applyBorder="1" applyAlignment="1">
      <alignment horizontal="center" wrapText="1"/>
      <protection/>
    </xf>
    <xf numFmtId="0" fontId="33" fillId="24" borderId="14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justify" vertical="top"/>
    </xf>
    <xf numFmtId="0" fontId="33" fillId="24" borderId="19" xfId="0" applyFont="1" applyFill="1" applyBorder="1" applyAlignment="1">
      <alignment horizontal="justify" vertical="top" wrapText="1"/>
    </xf>
    <xf numFmtId="4" fontId="33" fillId="24" borderId="13" xfId="0" applyNumberFormat="1" applyFont="1" applyFill="1" applyBorder="1" applyAlignment="1">
      <alignment horizontal="center"/>
    </xf>
    <xf numFmtId="4" fontId="4" fillId="24" borderId="13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justify" vertical="top" wrapText="1"/>
    </xf>
    <xf numFmtId="4" fontId="33" fillId="24" borderId="13" xfId="0" applyNumberFormat="1" applyFont="1" applyFill="1" applyBorder="1" applyAlignment="1">
      <alignment horizontal="center" wrapText="1"/>
    </xf>
    <xf numFmtId="4" fontId="4" fillId="24" borderId="13" xfId="0" applyNumberFormat="1" applyFont="1" applyFill="1" applyBorder="1" applyAlignment="1">
      <alignment horizontal="center" wrapText="1"/>
    </xf>
    <xf numFmtId="0" fontId="33" fillId="24" borderId="13" xfId="0" applyFont="1" applyFill="1" applyBorder="1" applyAlignment="1">
      <alignment horizontal="justify" vertical="top" wrapText="1"/>
    </xf>
    <xf numFmtId="2" fontId="33" fillId="24" borderId="0" xfId="0" applyNumberFormat="1" applyFont="1" applyFill="1" applyAlignment="1">
      <alignment vertical="top" wrapText="1"/>
    </xf>
    <xf numFmtId="4" fontId="33" fillId="24" borderId="19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justify" vertical="top" wrapText="1"/>
    </xf>
    <xf numFmtId="0" fontId="33" fillId="24" borderId="10" xfId="0" applyFont="1" applyFill="1" applyBorder="1" applyAlignment="1">
      <alignment horizontal="justify" vertical="top"/>
    </xf>
    <xf numFmtId="49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justify" vertical="top" wrapText="1"/>
    </xf>
    <xf numFmtId="4" fontId="20" fillId="24" borderId="10" xfId="0" applyNumberFormat="1" applyFont="1" applyFill="1" applyBorder="1" applyAlignment="1">
      <alignment vertical="top"/>
    </xf>
    <xf numFmtId="0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justify" vertical="center" wrapText="1"/>
    </xf>
    <xf numFmtId="3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wrapText="1"/>
    </xf>
    <xf numFmtId="3" fontId="20" fillId="24" borderId="0" xfId="0" applyNumberFormat="1" applyFont="1" applyFill="1" applyAlignment="1">
      <alignment horizontal="justify" vertical="top" wrapText="1"/>
    </xf>
    <xf numFmtId="3" fontId="20" fillId="0" borderId="10" xfId="0" applyNumberFormat="1" applyFont="1" applyFill="1" applyBorder="1" applyAlignment="1">
      <alignment horizontal="justify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justify" vertical="top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0" fontId="20" fillId="24" borderId="19" xfId="0" applyNumberFormat="1" applyFont="1" applyFill="1" applyBorder="1" applyAlignment="1">
      <alignment horizontal="justify" vertical="top" wrapText="1"/>
    </xf>
    <xf numFmtId="0" fontId="20" fillId="24" borderId="0" xfId="0" applyFont="1" applyFill="1" applyAlignment="1">
      <alignment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Alignment="1">
      <alignment wrapText="1"/>
    </xf>
    <xf numFmtId="0" fontId="20" fillId="24" borderId="10" xfId="0" applyFont="1" applyFill="1" applyBorder="1" applyAlignment="1">
      <alignment horizontal="justify" vertical="top" wrapText="1"/>
    </xf>
    <xf numFmtId="4" fontId="33" fillId="0" borderId="12" xfId="0" applyNumberFormat="1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justify" vertical="center" wrapText="1"/>
    </xf>
    <xf numFmtId="3" fontId="33" fillId="0" borderId="12" xfId="0" applyNumberFormat="1" applyFont="1" applyFill="1" applyBorder="1" applyAlignment="1">
      <alignment horizontal="justify" vertical="center" wrapText="1"/>
    </xf>
    <xf numFmtId="0" fontId="33" fillId="0" borderId="10" xfId="0" applyFont="1" applyBorder="1" applyAlignment="1">
      <alignment horizontal="justify" vertical="center" wrapText="1"/>
    </xf>
    <xf numFmtId="3" fontId="33" fillId="0" borderId="10" xfId="0" applyNumberFormat="1" applyFont="1" applyFill="1" applyBorder="1" applyAlignment="1">
      <alignment horizontal="justify" vertical="center" wrapText="1"/>
    </xf>
    <xf numFmtId="0" fontId="33" fillId="0" borderId="19" xfId="0" applyNumberFormat="1" applyFont="1" applyFill="1" applyBorder="1" applyAlignment="1">
      <alignment horizontal="justify" vertical="top" wrapText="1"/>
    </xf>
    <xf numFmtId="0" fontId="33" fillId="4" borderId="10" xfId="0" applyFont="1" applyFill="1" applyBorder="1" applyAlignment="1">
      <alignment horizontal="justify" vertical="top" wrapText="1"/>
    </xf>
    <xf numFmtId="1" fontId="33" fillId="0" borderId="12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3" fontId="33" fillId="24" borderId="10" xfId="0" applyNumberFormat="1" applyFont="1" applyFill="1" applyBorder="1" applyAlignment="1">
      <alignment horizontal="justify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/>
    </xf>
    <xf numFmtId="4" fontId="33" fillId="2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3" fillId="17" borderId="10" xfId="0" applyFont="1" applyFill="1" applyBorder="1" applyAlignment="1">
      <alignment horizontal="justify" vertical="top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49" fontId="33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" fontId="33" fillId="4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justify" vertical="center" wrapText="1"/>
    </xf>
    <xf numFmtId="4" fontId="20" fillId="0" borderId="13" xfId="0" applyNumberFormat="1" applyFont="1" applyFill="1" applyBorder="1" applyAlignment="1">
      <alignment vertical="top" wrapText="1"/>
    </xf>
    <xf numFmtId="4" fontId="20" fillId="0" borderId="19" xfId="0" applyNumberFormat="1" applyFont="1" applyFill="1" applyBorder="1" applyAlignment="1">
      <alignment vertical="top" wrapText="1"/>
    </xf>
    <xf numFmtId="4" fontId="20" fillId="0" borderId="13" xfId="0" applyNumberFormat="1" applyFont="1" applyFill="1" applyBorder="1" applyAlignment="1">
      <alignment vertical="top"/>
    </xf>
    <xf numFmtId="4" fontId="20" fillId="0" borderId="19" xfId="0" applyNumberFormat="1" applyFont="1" applyFill="1" applyBorder="1" applyAlignment="1">
      <alignment vertical="top"/>
    </xf>
    <xf numFmtId="1" fontId="20" fillId="24" borderId="10" xfId="0" applyNumberFormat="1" applyFont="1" applyFill="1" applyBorder="1" applyAlignment="1">
      <alignment horizontal="justify" vertical="top" wrapText="1"/>
    </xf>
    <xf numFmtId="0" fontId="33" fillId="0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4" fontId="2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6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24" borderId="10" xfId="0" applyNumberFormat="1" applyFont="1" applyFill="1" applyBorder="1" applyAlignment="1">
      <alignment vertical="center" wrapText="1"/>
    </xf>
    <xf numFmtId="4" fontId="33" fillId="0" borderId="13" xfId="0" applyNumberFormat="1" applyFont="1" applyFill="1" applyBorder="1" applyAlignment="1">
      <alignment horizontal="center"/>
    </xf>
    <xf numFmtId="4" fontId="33" fillId="0" borderId="1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/>
    </xf>
    <xf numFmtId="0" fontId="33" fillId="0" borderId="10" xfId="0" applyFont="1" applyFill="1" applyBorder="1" applyAlignment="1">
      <alignment horizontal="justify" vertical="top"/>
    </xf>
    <xf numFmtId="0" fontId="6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49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4" fontId="50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Fill="1" applyAlignment="1">
      <alignment/>
    </xf>
    <xf numFmtId="3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Fill="1" applyAlignment="1">
      <alignment vertical="center"/>
    </xf>
    <xf numFmtId="4" fontId="50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horizontal="left"/>
    </xf>
    <xf numFmtId="4" fontId="63" fillId="0" borderId="0" xfId="0" applyNumberFormat="1" applyFont="1" applyBorder="1" applyAlignment="1">
      <alignment/>
    </xf>
    <xf numFmtId="4" fontId="62" fillId="0" borderId="0" xfId="0" applyNumberFormat="1" applyFont="1" applyFill="1" applyAlignment="1">
      <alignment/>
    </xf>
    <xf numFmtId="49" fontId="55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5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 wrapText="1"/>
    </xf>
    <xf numFmtId="1" fontId="1" fillId="24" borderId="0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/>
    </xf>
    <xf numFmtId="1" fontId="50" fillId="24" borderId="0" xfId="0" applyNumberFormat="1" applyFont="1" applyFill="1" applyAlignment="1">
      <alignment/>
    </xf>
    <xf numFmtId="4" fontId="23" fillId="24" borderId="0" xfId="0" applyNumberFormat="1" applyFont="1" applyFill="1" applyAlignment="1">
      <alignment/>
    </xf>
    <xf numFmtId="1" fontId="23" fillId="24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" fontId="1" fillId="24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4" fontId="23" fillId="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4" fontId="28" fillId="4" borderId="10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8" fillId="0" borderId="19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196" fontId="4" fillId="0" borderId="10" xfId="0" applyNumberFormat="1" applyFont="1" applyBorder="1" applyAlignment="1">
      <alignment vertical="center" wrapText="1"/>
    </xf>
    <xf numFmtId="4" fontId="28" fillId="4" borderId="19" xfId="0" applyNumberFormat="1" applyFont="1" applyFill="1" applyBorder="1" applyAlignment="1">
      <alignment vertical="center"/>
    </xf>
    <xf numFmtId="196" fontId="33" fillId="0" borderId="10" xfId="0" applyNumberFormat="1" applyFont="1" applyBorder="1" applyAlignment="1">
      <alignment vertical="center" wrapText="1"/>
    </xf>
    <xf numFmtId="196" fontId="33" fillId="24" borderId="10" xfId="0" applyNumberFormat="1" applyFont="1" applyFill="1" applyBorder="1" applyAlignment="1">
      <alignment vertical="center" wrapText="1"/>
    </xf>
    <xf numFmtId="196" fontId="4" fillId="0" borderId="19" xfId="0" applyNumberFormat="1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28" fillId="4" borderId="10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3" fontId="33" fillId="0" borderId="20" xfId="0" applyNumberFormat="1" applyFont="1" applyFill="1" applyBorder="1" applyAlignment="1">
      <alignment horizontal="justify" vertical="center" wrapText="1"/>
    </xf>
    <xf numFmtId="49" fontId="4" fillId="4" borderId="19" xfId="0" applyNumberFormat="1" applyFont="1" applyFill="1" applyBorder="1" applyAlignment="1">
      <alignment horizontal="justify" vertical="top"/>
    </xf>
    <xf numFmtId="4" fontId="4" fillId="4" borderId="19" xfId="0" applyNumberFormat="1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justify" vertical="top" wrapText="1"/>
    </xf>
    <xf numFmtId="3" fontId="33" fillId="0" borderId="2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top" wrapText="1"/>
    </xf>
    <xf numFmtId="0" fontId="23" fillId="0" borderId="0" xfId="0" applyNumberFormat="1" applyFont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11" fillId="0" borderId="10" xfId="0" applyNumberFormat="1" applyFont="1" applyFill="1" applyBorder="1" applyAlignment="1">
      <alignment vertical="center"/>
    </xf>
    <xf numFmtId="4" fontId="20" fillId="24" borderId="10" xfId="0" applyNumberFormat="1" applyFont="1" applyFill="1" applyBorder="1" applyAlignment="1">
      <alignment vertical="top"/>
    </xf>
    <xf numFmtId="3" fontId="55" fillId="24" borderId="11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/>
    </xf>
    <xf numFmtId="0" fontId="20" fillId="0" borderId="0" xfId="53" applyFont="1" applyAlignment="1">
      <alignment horizontal="right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justify" vertical="top" wrapText="1"/>
    </xf>
    <xf numFmtId="4" fontId="1" fillId="4" borderId="10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vertical="top" wrapText="1"/>
    </xf>
    <xf numFmtId="3" fontId="33" fillId="24" borderId="10" xfId="0" applyNumberFormat="1" applyFont="1" applyFill="1" applyBorder="1" applyAlignment="1">
      <alignment horizontal="justify" vertical="top" wrapText="1"/>
    </xf>
    <xf numFmtId="49" fontId="33" fillId="0" borderId="19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 wrapText="1"/>
    </xf>
    <xf numFmtId="4" fontId="30" fillId="0" borderId="0" xfId="0" applyNumberFormat="1" applyFont="1" applyFill="1" applyAlignment="1">
      <alignment/>
    </xf>
    <xf numFmtId="0" fontId="20" fillId="24" borderId="10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21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3" fontId="52" fillId="0" borderId="23" xfId="0" applyNumberFormat="1" applyFont="1" applyFill="1" applyBorder="1" applyAlignment="1">
      <alignment horizontal="center" vertical="center" wrapText="1"/>
    </xf>
    <xf numFmtId="3" fontId="52" fillId="0" borderId="2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24" borderId="0" xfId="0" applyFont="1" applyFill="1" applyAlignment="1">
      <alignment/>
    </xf>
    <xf numFmtId="0" fontId="0" fillId="24" borderId="0" xfId="0" applyFill="1" applyAlignment="1">
      <alignment/>
    </xf>
    <xf numFmtId="0" fontId="29" fillId="0" borderId="0" xfId="0" applyFont="1" applyAlignment="1">
      <alignment horizontal="center"/>
    </xf>
    <xf numFmtId="0" fontId="34" fillId="24" borderId="12" xfId="0" applyFont="1" applyFill="1" applyBorder="1" applyAlignment="1">
      <alignment horizontal="left" vertical="top" wrapText="1"/>
    </xf>
    <xf numFmtId="0" fontId="34" fillId="24" borderId="23" xfId="0" applyFont="1" applyFill="1" applyBorder="1" applyAlignment="1">
      <alignment horizontal="left" vertical="top" wrapText="1"/>
    </xf>
    <xf numFmtId="0" fontId="34" fillId="24" borderId="14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52" fillId="0" borderId="2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55" fillId="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3" fontId="20" fillId="24" borderId="19" xfId="0" applyNumberFormat="1" applyFont="1" applyFill="1" applyBorder="1" applyAlignment="1">
      <alignment horizontal="center" vertical="center" wrapText="1"/>
    </xf>
    <xf numFmtId="3" fontId="20" fillId="24" borderId="21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0" fillId="0" borderId="14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/>
    </xf>
    <xf numFmtId="0" fontId="61" fillId="0" borderId="0" xfId="0" applyFont="1" applyAlignment="1">
      <alignment horizontal="right"/>
    </xf>
    <xf numFmtId="3" fontId="20" fillId="4" borderId="10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20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3" fontId="20" fillId="2" borderId="12" xfId="0" applyNumberFormat="1" applyFont="1" applyFill="1" applyBorder="1" applyAlignment="1">
      <alignment horizontal="center" wrapText="1"/>
    </xf>
    <xf numFmtId="3" fontId="20" fillId="2" borderId="23" xfId="0" applyNumberFormat="1" applyFont="1" applyFill="1" applyBorder="1" applyAlignment="1">
      <alignment horizontal="center" wrapText="1"/>
    </xf>
    <xf numFmtId="3" fontId="20" fillId="20" borderId="10" xfId="0" applyNumberFormat="1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3" fontId="20" fillId="24" borderId="19" xfId="0" applyNumberFormat="1" applyFont="1" applyFill="1" applyBorder="1" applyAlignment="1">
      <alignment horizontal="center" vertical="top" wrapText="1"/>
    </xf>
    <xf numFmtId="3" fontId="20" fillId="24" borderId="21" xfId="0" applyNumberFormat="1" applyFont="1" applyFill="1" applyBorder="1" applyAlignment="1">
      <alignment horizontal="center" vertical="top" wrapText="1"/>
    </xf>
    <xf numFmtId="3" fontId="20" fillId="24" borderId="13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20" fillId="0" borderId="12" xfId="0" applyNumberFormat="1" applyFont="1" applyFill="1" applyBorder="1" applyAlignment="1">
      <alignment horizontal="center" vertical="top" wrapText="1"/>
    </xf>
    <xf numFmtId="3" fontId="20" fillId="0" borderId="23" xfId="0" applyNumberFormat="1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196" fontId="33" fillId="0" borderId="19" xfId="0" applyNumberFormat="1" applyFont="1" applyBorder="1" applyAlignment="1">
      <alignment horizontal="center" vertical="center" wrapText="1"/>
    </xf>
    <xf numFmtId="196" fontId="33" fillId="0" borderId="21" xfId="0" applyNumberFormat="1" applyFont="1" applyBorder="1" applyAlignment="1">
      <alignment horizontal="center" vertical="center" wrapText="1"/>
    </xf>
    <xf numFmtId="196" fontId="33" fillId="0" borderId="13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96" fontId="33" fillId="0" borderId="21" xfId="0" applyNumberFormat="1" applyFont="1" applyFill="1" applyBorder="1" applyAlignment="1">
      <alignment horizontal="left" wrapText="1"/>
    </xf>
    <xf numFmtId="196" fontId="33" fillId="0" borderId="13" xfId="0" applyNumberFormat="1" applyFont="1" applyFill="1" applyBorder="1" applyAlignment="1">
      <alignment horizontal="left" wrapText="1"/>
    </xf>
    <xf numFmtId="196" fontId="33" fillId="0" borderId="19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196" fontId="33" fillId="0" borderId="19" xfId="0" applyNumberFormat="1" applyFont="1" applyFill="1" applyBorder="1" applyAlignment="1">
      <alignment horizontal="left"/>
    </xf>
    <xf numFmtId="196" fontId="33" fillId="0" borderId="21" xfId="0" applyNumberFormat="1" applyFont="1" applyFill="1" applyBorder="1" applyAlignment="1">
      <alignment horizontal="left"/>
    </xf>
    <xf numFmtId="196" fontId="33" fillId="0" borderId="13" xfId="0" applyNumberFormat="1" applyFont="1" applyFill="1" applyBorder="1" applyAlignment="1">
      <alignment horizontal="left"/>
    </xf>
    <xf numFmtId="196" fontId="37" fillId="0" borderId="19" xfId="0" applyNumberFormat="1" applyFont="1" applyFill="1" applyBorder="1" applyAlignment="1">
      <alignment horizontal="left" wrapText="1"/>
    </xf>
    <xf numFmtId="196" fontId="37" fillId="0" borderId="21" xfId="0" applyNumberFormat="1" applyFont="1" applyFill="1" applyBorder="1" applyAlignment="1">
      <alignment horizontal="left" wrapText="1"/>
    </xf>
    <xf numFmtId="196" fontId="37" fillId="0" borderId="13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justify" vertical="center" wrapText="1"/>
    </xf>
    <xf numFmtId="3" fontId="33" fillId="0" borderId="21" xfId="0" applyNumberFormat="1" applyFont="1" applyFill="1" applyBorder="1" applyAlignment="1">
      <alignment horizontal="justify" vertical="center" wrapText="1"/>
    </xf>
    <xf numFmtId="3" fontId="33" fillId="0" borderId="13" xfId="0" applyNumberFormat="1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33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0" fontId="33" fillId="17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23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horizontal="left" vertical="top" wrapText="1"/>
    </xf>
    <xf numFmtId="0" fontId="4" fillId="24" borderId="0" xfId="0" applyFont="1" applyFill="1" applyBorder="1" applyAlignment="1">
      <alignment horizontal="right" vertical="center" wrapText="1"/>
    </xf>
    <xf numFmtId="0" fontId="39" fillId="24" borderId="0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" fontId="50" fillId="0" borderId="0" xfId="0" applyNumberFormat="1" applyFont="1" applyAlignment="1">
      <alignment horizontal="right" vertical="center"/>
    </xf>
    <xf numFmtId="4" fontId="23" fillId="0" borderId="1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4" borderId="0" xfId="0" applyFont="1" applyFill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left"/>
    </xf>
    <xf numFmtId="0" fontId="33" fillId="24" borderId="13" xfId="0" applyFont="1" applyFill="1" applyBorder="1" applyAlignment="1">
      <alignment horizontal="left"/>
    </xf>
    <xf numFmtId="0" fontId="33" fillId="24" borderId="19" xfId="0" applyFont="1" applyFill="1" applyBorder="1" applyAlignment="1">
      <alignment horizontal="left" wrapText="1"/>
    </xf>
    <xf numFmtId="0" fontId="33" fillId="24" borderId="21" xfId="0" applyFont="1" applyFill="1" applyBorder="1" applyAlignment="1">
      <alignment horizontal="left" wrapText="1"/>
    </xf>
    <xf numFmtId="0" fontId="33" fillId="24" borderId="13" xfId="0" applyFont="1" applyFill="1" applyBorder="1" applyAlignment="1">
      <alignment horizontal="left" wrapText="1"/>
    </xf>
    <xf numFmtId="0" fontId="33" fillId="24" borderId="10" xfId="0" applyFont="1" applyFill="1" applyBorder="1" applyAlignment="1">
      <alignment horizontal="left"/>
    </xf>
    <xf numFmtId="0" fontId="33" fillId="24" borderId="21" xfId="0" applyFont="1" applyFill="1" applyBorder="1" applyAlignment="1">
      <alignment horizontal="left"/>
    </xf>
    <xf numFmtId="0" fontId="33" fillId="24" borderId="19" xfId="0" applyFont="1" applyFill="1" applyBorder="1" applyAlignment="1">
      <alignment horizontal="justify" wrapText="1"/>
    </xf>
    <xf numFmtId="0" fontId="33" fillId="24" borderId="21" xfId="0" applyFont="1" applyFill="1" applyBorder="1" applyAlignment="1">
      <alignment horizontal="justify" wrapText="1"/>
    </xf>
    <xf numFmtId="0" fontId="33" fillId="24" borderId="13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21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3" fillId="0" borderId="10" xfId="0" applyFont="1" applyFill="1" applyBorder="1" applyAlignment="1">
      <alignment horizontal="justify" vertical="top" wrapText="1"/>
    </xf>
    <xf numFmtId="4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left" vertical="top" wrapText="1"/>
    </xf>
    <xf numFmtId="4" fontId="33" fillId="0" borderId="10" xfId="54" applyNumberFormat="1" applyFont="1" applyFill="1" applyBorder="1" applyAlignment="1">
      <alignment horizontal="center" wrapText="1"/>
      <protection/>
    </xf>
    <xf numFmtId="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атки_2015_вересень" xfId="53"/>
    <cellStyle name="Обычный_Сеся15.08.08" xfId="54"/>
    <cellStyle name="Обычный_Сеся15.08.08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7-7\&#1056;&#1110;&#1096;&#1077;&#1085;&#1085;&#1103;_&#1079;&#1084;&#1110;&#1085;&#1080;%202018_%2017-7%20&#8470;5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1"/>
      <sheetName val="Дод.1.1"/>
      <sheetName val="Дод.1.2"/>
      <sheetName val="Дод.2"/>
      <sheetName val="Дод.3"/>
      <sheetName val="Дод.4"/>
      <sheetName val="Дод.4.1"/>
      <sheetName val="дод.5"/>
      <sheetName val="дод 6.1"/>
      <sheetName val="дод 7"/>
      <sheetName val="дод 8"/>
    </sheetNames>
    <sheetDataSet>
      <sheetData sheetId="7">
        <row r="12">
          <cell r="I12">
            <v>283003</v>
          </cell>
        </row>
        <row r="13">
          <cell r="I13">
            <v>522931</v>
          </cell>
        </row>
        <row r="16">
          <cell r="I16">
            <v>75000</v>
          </cell>
        </row>
        <row r="20">
          <cell r="I20">
            <v>197160</v>
          </cell>
        </row>
        <row r="22">
          <cell r="I22">
            <v>461282</v>
          </cell>
        </row>
        <row r="23">
          <cell r="I23">
            <v>368000</v>
          </cell>
        </row>
        <row r="30">
          <cell r="I30">
            <v>169150</v>
          </cell>
        </row>
        <row r="31">
          <cell r="G31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Zeros="0" view="pageBreakPreview" zoomScale="85" zoomScaleSheetLayoutView="85" zoomScalePageLayoutView="0" workbookViewId="0" topLeftCell="A13">
      <selection activeCell="D16" sqref="D16"/>
    </sheetView>
  </sheetViews>
  <sheetFormatPr defaultColWidth="9.00390625" defaultRowHeight="12.75"/>
  <cols>
    <col min="1" max="1" width="10.375" style="0" customWidth="1"/>
    <col min="2" max="2" width="82.25390625" style="0" customWidth="1"/>
    <col min="3" max="3" width="21.375" style="0" customWidth="1"/>
    <col min="4" max="5" width="23.125" style="0" customWidth="1"/>
    <col min="6" max="6" width="22.75390625" style="0" customWidth="1"/>
    <col min="7" max="7" width="0.37109375" style="0" hidden="1" customWidth="1"/>
    <col min="8" max="8" width="18.25390625" style="0" customWidth="1"/>
    <col min="9" max="9" width="18.625" style="0" customWidth="1"/>
    <col min="10" max="10" width="13.25390625" style="0" customWidth="1"/>
    <col min="11" max="11" width="15.375" style="0" customWidth="1"/>
  </cols>
  <sheetData>
    <row r="1" spans="1:6" ht="18.75">
      <c r="A1" s="85"/>
      <c r="B1" s="86"/>
      <c r="C1" s="86"/>
      <c r="D1" s="709" t="s">
        <v>239</v>
      </c>
      <c r="E1" s="710"/>
      <c r="F1" s="710"/>
    </row>
    <row r="2" spans="2:6" ht="18.75">
      <c r="B2" s="87"/>
      <c r="C2" s="87"/>
      <c r="D2" s="709" t="s">
        <v>240</v>
      </c>
      <c r="E2" s="710"/>
      <c r="F2" s="710"/>
    </row>
    <row r="3" spans="1:7" ht="18.75">
      <c r="A3" s="85"/>
      <c r="B3" s="86"/>
      <c r="C3" s="86"/>
      <c r="D3" s="711" t="s">
        <v>654</v>
      </c>
      <c r="E3" s="712"/>
      <c r="F3" s="712"/>
      <c r="G3" s="86"/>
    </row>
    <row r="4" spans="1:5" ht="16.5">
      <c r="A4" s="85"/>
      <c r="B4" s="84"/>
      <c r="C4" s="84"/>
      <c r="D4" s="85"/>
      <c r="E4" s="85"/>
    </row>
    <row r="5" spans="1:7" ht="23.25">
      <c r="A5" s="713" t="s">
        <v>543</v>
      </c>
      <c r="B5" s="713"/>
      <c r="C5" s="713"/>
      <c r="D5" s="713"/>
      <c r="E5" s="713"/>
      <c r="F5" s="713"/>
      <c r="G5" s="713"/>
    </row>
    <row r="6" spans="1:6" ht="18.75">
      <c r="A6" s="88"/>
      <c r="B6" s="88"/>
      <c r="C6" s="88"/>
      <c r="F6" s="89" t="s">
        <v>302</v>
      </c>
    </row>
    <row r="7" spans="1:6" ht="21.75" customHeight="1">
      <c r="A7" s="717" t="s">
        <v>247</v>
      </c>
      <c r="B7" s="717" t="s">
        <v>142</v>
      </c>
      <c r="C7" s="721" t="s">
        <v>160</v>
      </c>
      <c r="D7" s="723" t="s">
        <v>283</v>
      </c>
      <c r="E7" s="719" t="s">
        <v>861</v>
      </c>
      <c r="F7" s="720"/>
    </row>
    <row r="8" spans="1:6" ht="37.5" customHeight="1">
      <c r="A8" s="718"/>
      <c r="B8" s="718"/>
      <c r="C8" s="722"/>
      <c r="D8" s="724"/>
      <c r="E8" s="93" t="s">
        <v>284</v>
      </c>
      <c r="F8" s="138" t="s">
        <v>167</v>
      </c>
    </row>
    <row r="9" spans="1:6" ht="18.75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1">
        <v>6</v>
      </c>
    </row>
    <row r="10" spans="1:6" ht="21" customHeight="1">
      <c r="A10" s="725" t="s">
        <v>164</v>
      </c>
      <c r="B10" s="726"/>
      <c r="C10" s="726"/>
      <c r="D10" s="726"/>
      <c r="E10" s="726"/>
      <c r="F10" s="727"/>
    </row>
    <row r="11" spans="1:6" ht="24.75" customHeight="1">
      <c r="A11" s="141">
        <v>200000</v>
      </c>
      <c r="B11" s="142" t="s">
        <v>143</v>
      </c>
      <c r="C11" s="164">
        <f>C12+C15</f>
        <v>15606279.829999998</v>
      </c>
      <c r="D11" s="164">
        <f>D12+D15</f>
        <v>12297175.83</v>
      </c>
      <c r="E11" s="126">
        <f>E12+E15</f>
        <v>3309104</v>
      </c>
      <c r="F11" s="126">
        <f>F12+F15</f>
        <v>3289104</v>
      </c>
    </row>
    <row r="12" spans="1:6" ht="39" customHeight="1">
      <c r="A12" s="143">
        <v>206000</v>
      </c>
      <c r="B12" s="144" t="s">
        <v>501</v>
      </c>
      <c r="C12" s="135">
        <f>SUM(C13:C14)</f>
        <v>0</v>
      </c>
      <c r="D12" s="135">
        <f>SUM(D13:D14)</f>
        <v>0</v>
      </c>
      <c r="E12" s="135">
        <f>SUM(E13:E14)</f>
        <v>0</v>
      </c>
      <c r="F12" s="135">
        <f>SUM(F13:F14)</f>
        <v>0</v>
      </c>
    </row>
    <row r="13" spans="1:6" s="309" customFormat="1" ht="20.25" customHeight="1">
      <c r="A13" s="145">
        <v>206110</v>
      </c>
      <c r="B13" s="146" t="s">
        <v>144</v>
      </c>
      <c r="C13" s="161">
        <f>D13</f>
        <v>10000000</v>
      </c>
      <c r="D13" s="161">
        <v>10000000</v>
      </c>
      <c r="E13" s="161"/>
      <c r="F13" s="161"/>
    </row>
    <row r="14" spans="1:6" s="309" customFormat="1" ht="18.75" customHeight="1">
      <c r="A14" s="145">
        <v>206210</v>
      </c>
      <c r="B14" s="146" t="s">
        <v>145</v>
      </c>
      <c r="C14" s="161">
        <f>D14</f>
        <v>-10000000</v>
      </c>
      <c r="D14" s="161">
        <v>-10000000</v>
      </c>
      <c r="E14" s="161"/>
      <c r="F14" s="161"/>
    </row>
    <row r="15" spans="1:14" s="309" customFormat="1" ht="18.75" customHeight="1">
      <c r="A15" s="143">
        <v>208000</v>
      </c>
      <c r="B15" s="144" t="s">
        <v>226</v>
      </c>
      <c r="C15" s="164">
        <f>C16-C17+C18</f>
        <v>15606279.829999998</v>
      </c>
      <c r="D15" s="164">
        <f>D16-D17+D18</f>
        <v>12297175.83</v>
      </c>
      <c r="E15" s="164">
        <f>E16-E17+E18</f>
        <v>3309104</v>
      </c>
      <c r="F15" s="164">
        <f>F16-F17+F18</f>
        <v>3289104</v>
      </c>
      <c r="H15" s="311">
        <f>D15</f>
        <v>12297175.83</v>
      </c>
      <c r="I15" s="310" t="s">
        <v>116</v>
      </c>
      <c r="J15" s="310"/>
      <c r="K15" s="310"/>
      <c r="L15" s="310"/>
      <c r="M15" s="310"/>
      <c r="N15" s="310"/>
    </row>
    <row r="16" spans="1:14" s="309" customFormat="1" ht="20.25" customHeight="1">
      <c r="A16" s="145">
        <v>208100</v>
      </c>
      <c r="B16" s="146" t="s">
        <v>709</v>
      </c>
      <c r="C16" s="161">
        <f>D16+E16</f>
        <v>17288629.99</v>
      </c>
      <c r="D16" s="161">
        <f>189402.08+7151839.07+820060.94+1340000+5996.38+6491848.8</f>
        <v>15999147.27</v>
      </c>
      <c r="E16" s="161">
        <f>84482+550000+5348.93+38713.45+66000+544938.34</f>
        <v>1289482.72</v>
      </c>
      <c r="F16" s="161">
        <f>550000+5348.93</f>
        <v>555348.93</v>
      </c>
      <c r="H16" s="311">
        <f>D16-D17</f>
        <v>15056279.83</v>
      </c>
      <c r="I16" s="310" t="s">
        <v>115</v>
      </c>
      <c r="J16" s="311"/>
      <c r="K16" s="310" t="s">
        <v>117</v>
      </c>
      <c r="L16" s="310"/>
      <c r="M16" s="310"/>
      <c r="N16" s="310"/>
    </row>
    <row r="17" spans="1:14" s="309" customFormat="1" ht="22.5" customHeight="1">
      <c r="A17" s="145">
        <v>208200</v>
      </c>
      <c r="B17" s="146" t="s">
        <v>230</v>
      </c>
      <c r="C17" s="161">
        <f>D17+E17</f>
        <v>1682350.1599999995</v>
      </c>
      <c r="D17" s="161">
        <f>D16-1340000-2635485-7151839.07-820060.94-3108894.82</f>
        <v>942867.4399999995</v>
      </c>
      <c r="E17" s="161">
        <f>E16-550000</f>
        <v>739482.72</v>
      </c>
      <c r="F17" s="161">
        <f>F16-550000</f>
        <v>5348.930000000051</v>
      </c>
      <c r="H17" s="311">
        <f>F15</f>
        <v>3289104</v>
      </c>
      <c r="I17" s="311" t="s">
        <v>118</v>
      </c>
      <c r="J17" s="311">
        <f>E16-E17</f>
        <v>550000</v>
      </c>
      <c r="K17" s="310" t="s">
        <v>121</v>
      </c>
      <c r="L17" s="310"/>
      <c r="M17" s="310"/>
      <c r="N17" s="310"/>
    </row>
    <row r="18" spans="1:14" s="309" customFormat="1" ht="36.75" customHeight="1">
      <c r="A18" s="145">
        <v>208400</v>
      </c>
      <c r="B18" s="146" t="s">
        <v>139</v>
      </c>
      <c r="C18" s="161">
        <f>D18+E18</f>
        <v>0</v>
      </c>
      <c r="D18" s="161">
        <f>-1340000-50000-1000000-79104-270000-20000</f>
        <v>-2759104</v>
      </c>
      <c r="E18" s="161">
        <v>2759104</v>
      </c>
      <c r="F18" s="161">
        <v>2739104</v>
      </c>
      <c r="H18" s="311">
        <f>E15</f>
        <v>3309104</v>
      </c>
      <c r="I18" s="311" t="s">
        <v>119</v>
      </c>
      <c r="J18" s="312"/>
      <c r="K18" s="310"/>
      <c r="L18" s="310"/>
      <c r="M18" s="310"/>
      <c r="N18" s="310"/>
    </row>
    <row r="19" spans="1:14" s="309" customFormat="1" ht="18.75">
      <c r="A19" s="145" t="s">
        <v>162</v>
      </c>
      <c r="B19" s="313" t="s">
        <v>165</v>
      </c>
      <c r="C19" s="164">
        <f>D19+E19</f>
        <v>15606279.83</v>
      </c>
      <c r="D19" s="164">
        <f>D11</f>
        <v>12297175.83</v>
      </c>
      <c r="E19" s="164">
        <f>E11</f>
        <v>3309104</v>
      </c>
      <c r="F19" s="164">
        <f>F11</f>
        <v>3289104</v>
      </c>
      <c r="H19" s="311">
        <f>F15</f>
        <v>3289104</v>
      </c>
      <c r="I19" s="311" t="s">
        <v>120</v>
      </c>
      <c r="J19" s="310"/>
      <c r="K19" s="310"/>
      <c r="L19" s="310"/>
      <c r="M19" s="310"/>
      <c r="N19" s="310"/>
    </row>
    <row r="20" spans="1:14" s="309" customFormat="1" ht="26.25" customHeight="1">
      <c r="A20" s="714" t="s">
        <v>166</v>
      </c>
      <c r="B20" s="715"/>
      <c r="C20" s="715"/>
      <c r="D20" s="715"/>
      <c r="E20" s="715"/>
      <c r="F20" s="716"/>
      <c r="H20" s="311">
        <f>F18</f>
        <v>2739104</v>
      </c>
      <c r="I20" s="311" t="s">
        <v>118</v>
      </c>
      <c r="J20" s="310"/>
      <c r="K20" s="310"/>
      <c r="L20" s="310"/>
      <c r="M20" s="310"/>
      <c r="N20" s="310"/>
    </row>
    <row r="21" spans="1:14" s="309" customFormat="1" ht="22.5" customHeight="1">
      <c r="A21" s="314">
        <v>600000</v>
      </c>
      <c r="B21" s="142" t="s">
        <v>224</v>
      </c>
      <c r="C21" s="164">
        <f aca="true" t="shared" si="0" ref="C21:C29">D21+E21</f>
        <v>15606279.83</v>
      </c>
      <c r="D21" s="164">
        <f>D25</f>
        <v>12297175.83</v>
      </c>
      <c r="E21" s="164">
        <f>+E25</f>
        <v>3309104</v>
      </c>
      <c r="F21" s="164">
        <f>+F25</f>
        <v>3289104</v>
      </c>
      <c r="H21" s="311"/>
      <c r="I21" s="310"/>
      <c r="J21" s="310"/>
      <c r="K21" s="310"/>
      <c r="L21" s="310"/>
      <c r="M21" s="310"/>
      <c r="N21" s="310"/>
    </row>
    <row r="22" spans="1:11" s="309" customFormat="1" ht="36.75" customHeight="1">
      <c r="A22" s="143">
        <v>601000</v>
      </c>
      <c r="B22" s="144" t="s">
        <v>501</v>
      </c>
      <c r="C22" s="161">
        <f>C23+C24</f>
        <v>0</v>
      </c>
      <c r="D22" s="161"/>
      <c r="E22" s="161">
        <f>E23+E24</f>
        <v>0</v>
      </c>
      <c r="F22" s="161">
        <f>F23+F24</f>
        <v>0</v>
      </c>
      <c r="H22" s="432">
        <f>D16-D17</f>
        <v>15056279.83</v>
      </c>
      <c r="J22" s="432">
        <f>H22-I22</f>
        <v>15056279.83</v>
      </c>
      <c r="K22" s="309" t="s">
        <v>122</v>
      </c>
    </row>
    <row r="23" spans="1:6" s="309" customFormat="1" ht="24" customHeight="1">
      <c r="A23" s="145">
        <v>601110</v>
      </c>
      <c r="B23" s="146" t="s">
        <v>144</v>
      </c>
      <c r="C23" s="161">
        <f t="shared" si="0"/>
        <v>10000000</v>
      </c>
      <c r="D23" s="161">
        <f aca="true" t="shared" si="1" ref="D23:F24">D13</f>
        <v>10000000</v>
      </c>
      <c r="E23" s="161"/>
      <c r="F23" s="161">
        <f t="shared" si="1"/>
        <v>0</v>
      </c>
    </row>
    <row r="24" spans="1:6" s="309" customFormat="1" ht="18.75" customHeight="1">
      <c r="A24" s="145">
        <v>601210</v>
      </c>
      <c r="B24" s="146" t="s">
        <v>145</v>
      </c>
      <c r="C24" s="161">
        <f t="shared" si="0"/>
        <v>-10000000</v>
      </c>
      <c r="D24" s="161">
        <f t="shared" si="1"/>
        <v>-10000000</v>
      </c>
      <c r="E24" s="161"/>
      <c r="F24" s="161">
        <f t="shared" si="1"/>
        <v>0</v>
      </c>
    </row>
    <row r="25" spans="1:6" ht="19.5">
      <c r="A25" s="143">
        <v>602000</v>
      </c>
      <c r="B25" s="144" t="s">
        <v>155</v>
      </c>
      <c r="C25" s="126">
        <f t="shared" si="0"/>
        <v>15606279.83</v>
      </c>
      <c r="D25" s="126">
        <f>D26-D27+D28</f>
        <v>12297175.83</v>
      </c>
      <c r="E25" s="126">
        <f>+E26-E27+E28</f>
        <v>3309104</v>
      </c>
      <c r="F25" s="126">
        <f>+F26-F27+F28</f>
        <v>3289104</v>
      </c>
    </row>
    <row r="26" spans="1:6" ht="21.75" customHeight="1">
      <c r="A26" s="145">
        <v>602100</v>
      </c>
      <c r="B26" s="146" t="s">
        <v>709</v>
      </c>
      <c r="C26" s="126">
        <f t="shared" si="0"/>
        <v>17288629.99</v>
      </c>
      <c r="D26" s="92">
        <f>D16</f>
        <v>15999147.27</v>
      </c>
      <c r="E26" s="92">
        <f>+E16</f>
        <v>1289482.72</v>
      </c>
      <c r="F26" s="92">
        <f>+F16</f>
        <v>555348.93</v>
      </c>
    </row>
    <row r="27" spans="1:6" ht="23.25" customHeight="1">
      <c r="A27" s="145">
        <v>602200</v>
      </c>
      <c r="B27" s="146" t="s">
        <v>230</v>
      </c>
      <c r="C27" s="126">
        <f t="shared" si="0"/>
        <v>1682350.1599999995</v>
      </c>
      <c r="D27" s="92">
        <f>D17</f>
        <v>942867.4399999995</v>
      </c>
      <c r="E27" s="92">
        <f>+E17</f>
        <v>739482.72</v>
      </c>
      <c r="F27" s="92">
        <f>+F17</f>
        <v>5348.930000000051</v>
      </c>
    </row>
    <row r="28" spans="1:6" ht="36" customHeight="1">
      <c r="A28" s="145">
        <v>602400</v>
      </c>
      <c r="B28" s="146" t="s">
        <v>139</v>
      </c>
      <c r="C28" s="126">
        <f t="shared" si="0"/>
        <v>0</v>
      </c>
      <c r="D28" s="92">
        <f>D18</f>
        <v>-2759104</v>
      </c>
      <c r="E28" s="92">
        <f>E18</f>
        <v>2759104</v>
      </c>
      <c r="F28" s="92">
        <f>F18</f>
        <v>2739104</v>
      </c>
    </row>
    <row r="29" spans="1:6" ht="22.5" customHeight="1">
      <c r="A29" s="145" t="s">
        <v>162</v>
      </c>
      <c r="B29" s="313" t="s">
        <v>165</v>
      </c>
      <c r="C29" s="126">
        <f t="shared" si="0"/>
        <v>15606279.83</v>
      </c>
      <c r="D29" s="126">
        <f>+D21</f>
        <v>12297175.83</v>
      </c>
      <c r="E29" s="126">
        <f>+E21</f>
        <v>3309104</v>
      </c>
      <c r="F29" s="126">
        <f>+F21</f>
        <v>3289104</v>
      </c>
    </row>
    <row r="30" spans="1:7" ht="16.5">
      <c r="A30" s="94"/>
      <c r="B30" s="95"/>
      <c r="D30" s="96"/>
      <c r="E30" s="96"/>
      <c r="F30" s="96"/>
      <c r="G30" s="96"/>
    </row>
    <row r="31" spans="1:12" ht="24" customHeight="1">
      <c r="A31" s="97" t="s">
        <v>146</v>
      </c>
      <c r="B31" s="98" t="s">
        <v>7</v>
      </c>
      <c r="C31" s="98"/>
      <c r="D31" s="116" t="s">
        <v>434</v>
      </c>
      <c r="E31" s="98"/>
      <c r="F31" s="99"/>
      <c r="G31" s="100"/>
      <c r="H31" s="101"/>
      <c r="I31" s="102"/>
      <c r="J31" s="98"/>
      <c r="K31" s="103"/>
      <c r="L31" s="103"/>
    </row>
    <row r="34" ht="12.75">
      <c r="E34" s="162">
        <f>'Дод.1'!E119</f>
        <v>0</v>
      </c>
    </row>
    <row r="35" spans="2:10" ht="12.75">
      <c r="B35" t="s">
        <v>777</v>
      </c>
      <c r="C35" s="162">
        <f>'Дод.1'!C120-C37</f>
        <v>-15606279.830000043</v>
      </c>
      <c r="D35" s="162">
        <f>'Дод.1'!D120-'Дод.2'!D37</f>
        <v>-12297175.830000043</v>
      </c>
      <c r="E35" s="162">
        <f>'Дод.1'!E120</f>
        <v>-3309104</v>
      </c>
      <c r="F35" s="162">
        <f>'Дод.1'!F120</f>
        <v>-3289104</v>
      </c>
      <c r="J35" s="162">
        <f>C36-D36</f>
        <v>0</v>
      </c>
    </row>
    <row r="36" spans="2:6" ht="12.75">
      <c r="B36" t="s">
        <v>778</v>
      </c>
      <c r="C36" s="162">
        <f>C29+C35</f>
        <v>-4.284083843231201E-08</v>
      </c>
      <c r="D36" s="162">
        <f>D29+D35</f>
        <v>-4.284083843231201E-08</v>
      </c>
      <c r="E36" s="162">
        <f>E29+E35</f>
        <v>0</v>
      </c>
      <c r="F36" s="198">
        <f>F29+F35</f>
        <v>0</v>
      </c>
    </row>
    <row r="37" spans="2:5" ht="12.75">
      <c r="B37" t="s">
        <v>763</v>
      </c>
      <c r="C37" s="204"/>
      <c r="D37" s="204"/>
      <c r="E37" s="204"/>
    </row>
    <row r="38" ht="12.75">
      <c r="D38" s="162"/>
    </row>
    <row r="39" ht="12.75">
      <c r="C39" s="162"/>
    </row>
    <row r="42" ht="12.75">
      <c r="E42" s="162"/>
    </row>
  </sheetData>
  <sheetProtection/>
  <mergeCells count="11">
    <mergeCell ref="A20:F20"/>
    <mergeCell ref="A7:A8"/>
    <mergeCell ref="E7:F7"/>
    <mergeCell ref="B7:B8"/>
    <mergeCell ref="C7:C8"/>
    <mergeCell ref="D7:D8"/>
    <mergeCell ref="A10:F10"/>
    <mergeCell ref="D1:F1"/>
    <mergeCell ref="D2:F2"/>
    <mergeCell ref="D3:F3"/>
    <mergeCell ref="A5:G5"/>
  </mergeCells>
  <printOptions horizontalCentered="1"/>
  <pageMargins left="0.3937007874015748" right="0.3937007874015748" top="0.51" bottom="0.38" header="0.5118110236220472" footer="0.3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0"/>
  <sheetViews>
    <sheetView showZeros="0" view="pageBreakPreview" zoomScale="70" zoomScaleNormal="70" zoomScaleSheetLayoutView="70" zoomScalePageLayoutView="0" workbookViewId="0" topLeftCell="A1">
      <pane xSplit="7" ySplit="11" topLeftCell="H8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09" sqref="G109"/>
    </sheetView>
  </sheetViews>
  <sheetFormatPr defaultColWidth="9.00390625" defaultRowHeight="12.75"/>
  <cols>
    <col min="1" max="1" width="11.375" style="8" hidden="1" customWidth="1"/>
    <col min="2" max="2" width="7.875" style="8" hidden="1" customWidth="1"/>
    <col min="3" max="3" width="6.875" style="8" hidden="1" customWidth="1"/>
    <col min="4" max="4" width="13.00390625" style="38" customWidth="1"/>
    <col min="5" max="5" width="13.25390625" style="8" customWidth="1"/>
    <col min="6" max="6" width="13.75390625" style="8" customWidth="1"/>
    <col min="7" max="7" width="56.75390625" style="41" customWidth="1"/>
    <col min="8" max="8" width="18.125" style="8" customWidth="1"/>
    <col min="9" max="9" width="19.125" style="48" customWidth="1"/>
    <col min="10" max="10" width="16.25390625" style="8" customWidth="1"/>
    <col min="11" max="11" width="17.125" style="8" customWidth="1"/>
    <col min="12" max="12" width="15.25390625" style="8" customWidth="1"/>
    <col min="13" max="13" width="14.625" style="8" customWidth="1"/>
    <col min="14" max="14" width="14.25390625" style="8" customWidth="1"/>
    <col min="15" max="15" width="15.125" style="8" customWidth="1"/>
    <col min="16" max="16" width="13.375" style="8" customWidth="1"/>
    <col min="17" max="17" width="15.375" style="8" customWidth="1"/>
    <col min="18" max="18" width="14.75390625" style="8" customWidth="1"/>
    <col min="19" max="19" width="17.125" style="8" customWidth="1"/>
    <col min="20" max="20" width="13.375" style="8" customWidth="1"/>
    <col min="21" max="21" width="10.125" style="8" bestFit="1" customWidth="1"/>
    <col min="22" max="22" width="9.125" style="8" customWidth="1"/>
    <col min="23" max="23" width="10.375" style="8" bestFit="1" customWidth="1"/>
    <col min="24" max="16384" width="9.125" style="8" customWidth="1"/>
  </cols>
  <sheetData>
    <row r="1" ht="28.5" customHeight="1">
      <c r="R1" s="139" t="s">
        <v>544</v>
      </c>
    </row>
    <row r="2" spans="16:19" ht="15.75" customHeight="1">
      <c r="P2" s="61"/>
      <c r="Q2" s="62"/>
      <c r="R2" s="685" t="s">
        <v>761</v>
      </c>
      <c r="S2" s="685"/>
    </row>
    <row r="3" spans="16:19" ht="3.75" customHeight="1" hidden="1">
      <c r="P3" s="61"/>
      <c r="Q3" s="62"/>
      <c r="R3" s="315"/>
      <c r="S3" s="435"/>
    </row>
    <row r="4" spans="18:19" ht="21" customHeight="1">
      <c r="R4" s="316" t="str">
        <f>'Дод.1'!D3</f>
        <v>від                    №  </v>
      </c>
      <c r="S4" s="1"/>
    </row>
    <row r="5" spans="2:19" ht="17.25" customHeight="1">
      <c r="B5" s="367"/>
      <c r="D5" s="364"/>
      <c r="E5" s="364"/>
      <c r="F5" s="364"/>
      <c r="G5" s="365"/>
      <c r="H5" s="364"/>
      <c r="I5" s="366"/>
      <c r="J5" s="364" t="s">
        <v>541</v>
      </c>
      <c r="K5" s="364"/>
      <c r="L5" s="364"/>
      <c r="M5" s="364"/>
      <c r="N5" s="364"/>
      <c r="O5" s="364"/>
      <c r="P5" s="364"/>
      <c r="Q5" s="364"/>
      <c r="R5" s="364"/>
      <c r="S5" s="364"/>
    </row>
    <row r="6" spans="5:19" ht="17.25" customHeight="1">
      <c r="E6" s="38"/>
      <c r="F6" s="38"/>
      <c r="G6" s="42"/>
      <c r="H6" s="38"/>
      <c r="I6" s="66"/>
      <c r="J6" s="38"/>
      <c r="K6" s="38"/>
      <c r="L6" s="38"/>
      <c r="M6" s="38"/>
      <c r="N6" s="38"/>
      <c r="O6" s="38"/>
      <c r="P6" s="38"/>
      <c r="Q6" s="38"/>
      <c r="R6" s="703" t="s">
        <v>302</v>
      </c>
      <c r="S6" s="703"/>
    </row>
    <row r="7" spans="4:19" s="24" customFormat="1" ht="27" customHeight="1">
      <c r="D7" s="686" t="s">
        <v>168</v>
      </c>
      <c r="E7" s="686" t="s">
        <v>169</v>
      </c>
      <c r="F7" s="686" t="s">
        <v>170</v>
      </c>
      <c r="G7" s="686" t="s">
        <v>539</v>
      </c>
      <c r="H7" s="705" t="s">
        <v>283</v>
      </c>
      <c r="I7" s="706"/>
      <c r="J7" s="706"/>
      <c r="K7" s="706"/>
      <c r="L7" s="696"/>
      <c r="M7" s="705" t="s">
        <v>861</v>
      </c>
      <c r="N7" s="706"/>
      <c r="O7" s="706"/>
      <c r="P7" s="706"/>
      <c r="Q7" s="706"/>
      <c r="R7" s="706"/>
      <c r="S7" s="698" t="s">
        <v>81</v>
      </c>
    </row>
    <row r="8" spans="4:20" s="24" customFormat="1" ht="26.25" customHeight="1">
      <c r="D8" s="687"/>
      <c r="E8" s="689"/>
      <c r="F8" s="689"/>
      <c r="G8" s="689"/>
      <c r="H8" s="698" t="s">
        <v>160</v>
      </c>
      <c r="I8" s="700" t="s">
        <v>502</v>
      </c>
      <c r="J8" s="698" t="s">
        <v>80</v>
      </c>
      <c r="K8" s="698"/>
      <c r="L8" s="704" t="s">
        <v>504</v>
      </c>
      <c r="M8" s="698" t="s">
        <v>160</v>
      </c>
      <c r="N8" s="693" t="s">
        <v>540</v>
      </c>
      <c r="O8" s="704" t="s">
        <v>502</v>
      </c>
      <c r="P8" s="728" t="s">
        <v>80</v>
      </c>
      <c r="Q8" s="707"/>
      <c r="R8" s="704" t="s">
        <v>504</v>
      </c>
      <c r="S8" s="698"/>
      <c r="T8" s="24">
        <v>1</v>
      </c>
    </row>
    <row r="9" spans="4:19" s="24" customFormat="1" ht="1.5" customHeight="1">
      <c r="D9" s="687"/>
      <c r="E9" s="689"/>
      <c r="F9" s="689"/>
      <c r="G9" s="689"/>
      <c r="H9" s="698"/>
      <c r="I9" s="701"/>
      <c r="J9" s="699"/>
      <c r="K9" s="699"/>
      <c r="L9" s="704"/>
      <c r="M9" s="698"/>
      <c r="N9" s="694"/>
      <c r="O9" s="704"/>
      <c r="P9" s="708"/>
      <c r="Q9" s="697"/>
      <c r="R9" s="704"/>
      <c r="S9" s="698"/>
    </row>
    <row r="10" spans="4:20" s="24" customFormat="1" ht="99" customHeight="1">
      <c r="D10" s="688"/>
      <c r="E10" s="690"/>
      <c r="F10" s="690"/>
      <c r="G10" s="690"/>
      <c r="H10" s="698"/>
      <c r="I10" s="702"/>
      <c r="J10" s="273" t="s">
        <v>245</v>
      </c>
      <c r="K10" s="273" t="s">
        <v>246</v>
      </c>
      <c r="L10" s="704"/>
      <c r="M10" s="698"/>
      <c r="N10" s="695"/>
      <c r="O10" s="704"/>
      <c r="P10" s="273" t="s">
        <v>520</v>
      </c>
      <c r="Q10" s="273" t="s">
        <v>521</v>
      </c>
      <c r="R10" s="704"/>
      <c r="S10" s="698"/>
      <c r="T10" s="24">
        <v>1</v>
      </c>
    </row>
    <row r="11" spans="4:20" s="80" customFormat="1" ht="23.25" customHeight="1">
      <c r="D11" s="274">
        <v>1</v>
      </c>
      <c r="E11" s="274">
        <v>2</v>
      </c>
      <c r="F11" s="274">
        <v>3</v>
      </c>
      <c r="G11" s="275">
        <v>4</v>
      </c>
      <c r="H11" s="274">
        <f>G11+1</f>
        <v>5</v>
      </c>
      <c r="I11" s="274">
        <v>6</v>
      </c>
      <c r="J11" s="274">
        <v>7</v>
      </c>
      <c r="K11" s="274">
        <v>8</v>
      </c>
      <c r="L11" s="274">
        <v>9</v>
      </c>
      <c r="M11" s="274">
        <v>10</v>
      </c>
      <c r="N11" s="274">
        <v>11</v>
      </c>
      <c r="O11" s="274">
        <v>12</v>
      </c>
      <c r="P11" s="274">
        <v>13</v>
      </c>
      <c r="Q11" s="274">
        <v>14</v>
      </c>
      <c r="R11" s="274">
        <v>15</v>
      </c>
      <c r="S11" s="79">
        <v>16</v>
      </c>
      <c r="T11" s="80">
        <v>1</v>
      </c>
    </row>
    <row r="12" spans="1:19" s="80" customFormat="1" ht="24.75" customHeight="1">
      <c r="A12" s="149" t="s">
        <v>21</v>
      </c>
      <c r="B12" s="148"/>
      <c r="C12" s="148"/>
      <c r="D12" s="289" t="s">
        <v>21</v>
      </c>
      <c r="E12" s="289"/>
      <c r="F12" s="289"/>
      <c r="G12" s="290" t="s">
        <v>104</v>
      </c>
      <c r="H12" s="291">
        <f>H13</f>
        <v>4737271</v>
      </c>
      <c r="I12" s="291">
        <f aca="true" t="shared" si="0" ref="I12:S12">I13</f>
        <v>4737271</v>
      </c>
      <c r="J12" s="291">
        <f t="shared" si="0"/>
        <v>3432843</v>
      </c>
      <c r="K12" s="291">
        <f t="shared" si="0"/>
        <v>249459</v>
      </c>
      <c r="L12" s="291">
        <f t="shared" si="0"/>
        <v>0</v>
      </c>
      <c r="M12" s="291">
        <f t="shared" si="0"/>
        <v>30510</v>
      </c>
      <c r="N12" s="291">
        <f t="shared" si="0"/>
        <v>0</v>
      </c>
      <c r="O12" s="291">
        <f t="shared" si="0"/>
        <v>30510</v>
      </c>
      <c r="P12" s="291">
        <f t="shared" si="0"/>
        <v>0</v>
      </c>
      <c r="Q12" s="291">
        <f t="shared" si="0"/>
        <v>0</v>
      </c>
      <c r="R12" s="291">
        <f t="shared" si="0"/>
        <v>0</v>
      </c>
      <c r="S12" s="291">
        <f t="shared" si="0"/>
        <v>4767781</v>
      </c>
    </row>
    <row r="13" spans="1:21" s="43" customFormat="1" ht="25.5" customHeight="1">
      <c r="A13" s="147" t="s">
        <v>20</v>
      </c>
      <c r="B13" s="147"/>
      <c r="C13" s="147"/>
      <c r="D13" s="292" t="s">
        <v>20</v>
      </c>
      <c r="E13" s="292"/>
      <c r="F13" s="292"/>
      <c r="G13" s="293" t="s">
        <v>104</v>
      </c>
      <c r="H13" s="294">
        <f aca="true" t="shared" si="1" ref="H13:S13">SUM(H14:H16)</f>
        <v>4737271</v>
      </c>
      <c r="I13" s="294">
        <f t="shared" si="1"/>
        <v>4737271</v>
      </c>
      <c r="J13" s="294">
        <f t="shared" si="1"/>
        <v>3432843</v>
      </c>
      <c r="K13" s="294">
        <f t="shared" si="1"/>
        <v>249459</v>
      </c>
      <c r="L13" s="294">
        <f t="shared" si="1"/>
        <v>0</v>
      </c>
      <c r="M13" s="294">
        <f t="shared" si="1"/>
        <v>30510</v>
      </c>
      <c r="N13" s="294">
        <f t="shared" si="1"/>
        <v>0</v>
      </c>
      <c r="O13" s="294">
        <f t="shared" si="1"/>
        <v>30510</v>
      </c>
      <c r="P13" s="294">
        <f t="shared" si="1"/>
        <v>0</v>
      </c>
      <c r="Q13" s="294">
        <f t="shared" si="1"/>
        <v>0</v>
      </c>
      <c r="R13" s="294">
        <f t="shared" si="1"/>
        <v>0</v>
      </c>
      <c r="S13" s="294">
        <f t="shared" si="1"/>
        <v>4767781</v>
      </c>
      <c r="T13" s="43">
        <f>H13+M13</f>
        <v>4767781</v>
      </c>
      <c r="U13" s="43">
        <f>T13-S13</f>
        <v>0</v>
      </c>
    </row>
    <row r="14" spans="1:21" s="26" customFormat="1" ht="75" customHeight="1">
      <c r="A14" s="52" t="s">
        <v>688</v>
      </c>
      <c r="B14" s="52" t="s">
        <v>689</v>
      </c>
      <c r="C14" s="52" t="s">
        <v>690</v>
      </c>
      <c r="D14" s="473" t="s">
        <v>185</v>
      </c>
      <c r="E14" s="473" t="s">
        <v>186</v>
      </c>
      <c r="F14" s="473" t="s">
        <v>690</v>
      </c>
      <c r="G14" s="474" t="s">
        <v>184</v>
      </c>
      <c r="H14" s="297">
        <f>I14+L14</f>
        <v>4164311</v>
      </c>
      <c r="I14" s="475">
        <f>4114311+50000</f>
        <v>4164311</v>
      </c>
      <c r="J14" s="475">
        <v>3110472</v>
      </c>
      <c r="K14" s="475">
        <v>230192</v>
      </c>
      <c r="L14" s="475"/>
      <c r="M14" s="297">
        <f>O14+R14</f>
        <v>9660</v>
      </c>
      <c r="N14" s="475"/>
      <c r="O14" s="475">
        <v>9660</v>
      </c>
      <c r="P14" s="475"/>
      <c r="Q14" s="475"/>
      <c r="R14" s="475"/>
      <c r="S14" s="297">
        <f>H14+M14</f>
        <v>4173971</v>
      </c>
      <c r="T14" s="43">
        <f>H14+M14</f>
        <v>4173971</v>
      </c>
      <c r="U14" s="43">
        <f>T14-S14</f>
        <v>0</v>
      </c>
    </row>
    <row r="15" spans="1:21" s="25" customFormat="1" ht="33" customHeight="1">
      <c r="A15" s="52" t="s">
        <v>692</v>
      </c>
      <c r="B15" s="140">
        <v>8600</v>
      </c>
      <c r="C15" s="140" t="s">
        <v>691</v>
      </c>
      <c r="D15" s="473" t="s">
        <v>187</v>
      </c>
      <c r="E15" s="473" t="s">
        <v>420</v>
      </c>
      <c r="F15" s="473" t="s">
        <v>691</v>
      </c>
      <c r="G15" s="474" t="s">
        <v>332</v>
      </c>
      <c r="H15" s="297">
        <f>I15+L15</f>
        <v>522960</v>
      </c>
      <c r="I15" s="475">
        <f>105000+413726+4234</f>
        <v>522960</v>
      </c>
      <c r="J15" s="475">
        <v>322371</v>
      </c>
      <c r="K15" s="475">
        <v>19267</v>
      </c>
      <c r="L15" s="475"/>
      <c r="M15" s="297">
        <f>O15+R15</f>
        <v>20850</v>
      </c>
      <c r="N15" s="475"/>
      <c r="O15" s="475">
        <v>20850</v>
      </c>
      <c r="P15" s="475"/>
      <c r="Q15" s="475"/>
      <c r="R15" s="475"/>
      <c r="S15" s="297">
        <f>H15+M15</f>
        <v>543810</v>
      </c>
      <c r="T15" s="43">
        <f>H15+M15</f>
        <v>543810</v>
      </c>
      <c r="U15" s="43">
        <f>T15-S15</f>
        <v>0</v>
      </c>
    </row>
    <row r="16" spans="1:21" s="152" customFormat="1" ht="39" customHeight="1">
      <c r="A16" s="151"/>
      <c r="B16" s="151"/>
      <c r="C16" s="151"/>
      <c r="D16" s="471" t="s">
        <v>191</v>
      </c>
      <c r="E16" s="471" t="s">
        <v>192</v>
      </c>
      <c r="F16" s="471" t="s">
        <v>781</v>
      </c>
      <c r="G16" s="472" t="s">
        <v>193</v>
      </c>
      <c r="H16" s="297">
        <f>I16+L16</f>
        <v>50000</v>
      </c>
      <c r="I16" s="302">
        <v>50000</v>
      </c>
      <c r="J16" s="302"/>
      <c r="K16" s="302"/>
      <c r="L16" s="302"/>
      <c r="M16" s="295">
        <f>O16+R16</f>
        <v>0</v>
      </c>
      <c r="N16" s="296"/>
      <c r="O16" s="302"/>
      <c r="P16" s="302"/>
      <c r="Q16" s="302"/>
      <c r="R16" s="302"/>
      <c r="S16" s="297">
        <f>H16+M16</f>
        <v>50000</v>
      </c>
      <c r="T16" s="43">
        <f aca="true" t="shared" si="2" ref="T16:T24">H16+M16</f>
        <v>50000</v>
      </c>
      <c r="U16" s="43">
        <f aca="true" t="shared" si="3" ref="U16:U24">T16-S16</f>
        <v>0</v>
      </c>
    </row>
    <row r="17" spans="1:21" s="25" customFormat="1" ht="33.75" customHeight="1">
      <c r="A17" s="147" t="s">
        <v>22</v>
      </c>
      <c r="B17" s="52"/>
      <c r="C17" s="52"/>
      <c r="D17" s="292" t="s">
        <v>317</v>
      </c>
      <c r="E17" s="292"/>
      <c r="F17" s="292"/>
      <c r="G17" s="293" t="s">
        <v>105</v>
      </c>
      <c r="H17" s="294">
        <f>H18</f>
        <v>60406532.300000004</v>
      </c>
      <c r="I17" s="294">
        <f aca="true" t="shared" si="4" ref="I17:S17">I18</f>
        <v>60406532.300000004</v>
      </c>
      <c r="J17" s="294">
        <f t="shared" si="4"/>
        <v>1574585</v>
      </c>
      <c r="K17" s="294">
        <f t="shared" si="4"/>
        <v>135544</v>
      </c>
      <c r="L17" s="294">
        <f t="shared" si="4"/>
        <v>0</v>
      </c>
      <c r="M17" s="294">
        <f t="shared" si="4"/>
        <v>4101309</v>
      </c>
      <c r="N17" s="294">
        <f t="shared" si="4"/>
        <v>2850000</v>
      </c>
      <c r="O17" s="294">
        <f t="shared" si="4"/>
        <v>1171309</v>
      </c>
      <c r="P17" s="294">
        <f t="shared" si="4"/>
        <v>0</v>
      </c>
      <c r="Q17" s="294">
        <f t="shared" si="4"/>
        <v>0</v>
      </c>
      <c r="R17" s="294">
        <f t="shared" si="4"/>
        <v>2930000</v>
      </c>
      <c r="S17" s="294">
        <f t="shared" si="4"/>
        <v>64507841.300000004</v>
      </c>
      <c r="T17" s="43">
        <f t="shared" si="2"/>
        <v>64507841.300000004</v>
      </c>
      <c r="U17" s="43">
        <f t="shared" si="3"/>
        <v>0</v>
      </c>
    </row>
    <row r="18" spans="1:21" s="43" customFormat="1" ht="33.75" customHeight="1">
      <c r="A18" s="147" t="s">
        <v>26</v>
      </c>
      <c r="B18" s="147"/>
      <c r="C18" s="147"/>
      <c r="D18" s="292" t="s">
        <v>318</v>
      </c>
      <c r="E18" s="292"/>
      <c r="F18" s="292"/>
      <c r="G18" s="293" t="s">
        <v>105</v>
      </c>
      <c r="H18" s="294">
        <f aca="true" t="shared" si="5" ref="H18:S18">SUM(H19:H32)</f>
        <v>60406532.300000004</v>
      </c>
      <c r="I18" s="294">
        <f t="shared" si="5"/>
        <v>60406532.300000004</v>
      </c>
      <c r="J18" s="294">
        <f t="shared" si="5"/>
        <v>1574585</v>
      </c>
      <c r="K18" s="294">
        <f t="shared" si="5"/>
        <v>135544</v>
      </c>
      <c r="L18" s="294">
        <f t="shared" si="5"/>
        <v>0</v>
      </c>
      <c r="M18" s="294">
        <f t="shared" si="5"/>
        <v>4101309</v>
      </c>
      <c r="N18" s="294">
        <f t="shared" si="5"/>
        <v>2850000</v>
      </c>
      <c r="O18" s="294">
        <f t="shared" si="5"/>
        <v>1171309</v>
      </c>
      <c r="P18" s="294">
        <f t="shared" si="5"/>
        <v>0</v>
      </c>
      <c r="Q18" s="294">
        <f t="shared" si="5"/>
        <v>0</v>
      </c>
      <c r="R18" s="294">
        <f t="shared" si="5"/>
        <v>2930000</v>
      </c>
      <c r="S18" s="294">
        <f t="shared" si="5"/>
        <v>64507841.300000004</v>
      </c>
      <c r="T18" s="43">
        <f t="shared" si="2"/>
        <v>64507841.300000004</v>
      </c>
      <c r="U18" s="43">
        <f t="shared" si="3"/>
        <v>0</v>
      </c>
    </row>
    <row r="19" spans="1:21" s="43" customFormat="1" ht="33.75" customHeight="1">
      <c r="A19" s="52" t="s">
        <v>78</v>
      </c>
      <c r="B19" s="52" t="s">
        <v>693</v>
      </c>
      <c r="C19" s="52" t="s">
        <v>691</v>
      </c>
      <c r="D19" s="473" t="s">
        <v>331</v>
      </c>
      <c r="E19" s="473" t="s">
        <v>420</v>
      </c>
      <c r="F19" s="473" t="s">
        <v>691</v>
      </c>
      <c r="G19" s="474" t="s">
        <v>332</v>
      </c>
      <c r="H19" s="295">
        <f aca="true" t="shared" si="6" ref="H19:H28">I19+L19</f>
        <v>105000</v>
      </c>
      <c r="I19" s="296">
        <f>80000+25000</f>
        <v>105000</v>
      </c>
      <c r="J19" s="296"/>
      <c r="K19" s="296"/>
      <c r="L19" s="296"/>
      <c r="M19" s="296">
        <f aca="true" t="shared" si="7" ref="M19:M31">O19+R19</f>
        <v>0</v>
      </c>
      <c r="N19" s="296"/>
      <c r="O19" s="296"/>
      <c r="P19" s="296"/>
      <c r="Q19" s="296"/>
      <c r="R19" s="296"/>
      <c r="S19" s="297">
        <f>H19+M19</f>
        <v>105000</v>
      </c>
      <c r="T19" s="43">
        <f t="shared" si="2"/>
        <v>105000</v>
      </c>
      <c r="U19" s="43">
        <f t="shared" si="3"/>
        <v>0</v>
      </c>
    </row>
    <row r="20" spans="1:21" s="26" customFormat="1" ht="34.5" customHeight="1">
      <c r="A20" s="52" t="s">
        <v>25</v>
      </c>
      <c r="B20" s="52">
        <v>2010</v>
      </c>
      <c r="C20" s="52" t="s">
        <v>24</v>
      </c>
      <c r="D20" s="471" t="s">
        <v>319</v>
      </c>
      <c r="E20" s="471">
        <v>2010</v>
      </c>
      <c r="F20" s="471" t="s">
        <v>24</v>
      </c>
      <c r="G20" s="472" t="s">
        <v>23</v>
      </c>
      <c r="H20" s="295">
        <f t="shared" si="6"/>
        <v>46122486.49</v>
      </c>
      <c r="I20" s="296">
        <f>45078093+1044393.49</f>
        <v>46122486.49</v>
      </c>
      <c r="J20" s="296"/>
      <c r="K20" s="296"/>
      <c r="L20" s="296">
        <f>2900-2900</f>
        <v>0</v>
      </c>
      <c r="M20" s="295">
        <f t="shared" si="7"/>
        <v>2930000</v>
      </c>
      <c r="N20" s="296">
        <f>1000000+1850000</f>
        <v>2850000</v>
      </c>
      <c r="O20" s="296"/>
      <c r="P20" s="296"/>
      <c r="Q20" s="296"/>
      <c r="R20" s="296">
        <f>1000000+80000+1850000</f>
        <v>2930000</v>
      </c>
      <c r="S20" s="295">
        <f aca="true" t="shared" si="8" ref="S20:S32">H20+M20</f>
        <v>49052486.49</v>
      </c>
      <c r="T20" s="43">
        <f t="shared" si="2"/>
        <v>49052486.49</v>
      </c>
      <c r="U20" s="43">
        <f t="shared" si="3"/>
        <v>0</v>
      </c>
    </row>
    <row r="21" spans="1:21" s="26" customFormat="1" ht="25.5" customHeight="1">
      <c r="A21" s="52" t="s">
        <v>424</v>
      </c>
      <c r="B21" s="52" t="s">
        <v>27</v>
      </c>
      <c r="C21" s="52" t="s">
        <v>28</v>
      </c>
      <c r="D21" s="473" t="s">
        <v>320</v>
      </c>
      <c r="E21" s="473" t="s">
        <v>188</v>
      </c>
      <c r="F21" s="473" t="s">
        <v>28</v>
      </c>
      <c r="G21" s="474" t="s">
        <v>189</v>
      </c>
      <c r="H21" s="295">
        <f t="shared" si="6"/>
        <v>5850307.91</v>
      </c>
      <c r="I21" s="475">
        <f>5708544+141763.91</f>
        <v>5850307.91</v>
      </c>
      <c r="J21" s="296"/>
      <c r="K21" s="296"/>
      <c r="L21" s="296"/>
      <c r="M21" s="295">
        <f t="shared" si="7"/>
        <v>937809</v>
      </c>
      <c r="N21" s="296"/>
      <c r="O21" s="296">
        <v>937809</v>
      </c>
      <c r="P21" s="296"/>
      <c r="Q21" s="296"/>
      <c r="R21" s="296"/>
      <c r="S21" s="297">
        <f t="shared" si="8"/>
        <v>6788116.91</v>
      </c>
      <c r="T21" s="43">
        <f t="shared" si="2"/>
        <v>6788116.91</v>
      </c>
      <c r="U21" s="43">
        <f t="shared" si="3"/>
        <v>0</v>
      </c>
    </row>
    <row r="22" spans="1:21" s="26" customFormat="1" ht="55.5" customHeight="1">
      <c r="A22" s="52" t="s">
        <v>425</v>
      </c>
      <c r="B22" s="52">
        <v>2180</v>
      </c>
      <c r="C22" s="52" t="s">
        <v>29</v>
      </c>
      <c r="D22" s="473" t="s">
        <v>405</v>
      </c>
      <c r="E22" s="473" t="s">
        <v>190</v>
      </c>
      <c r="F22" s="473" t="s">
        <v>29</v>
      </c>
      <c r="G22" s="474" t="s">
        <v>316</v>
      </c>
      <c r="H22" s="295">
        <f t="shared" si="6"/>
        <v>2026540.9</v>
      </c>
      <c r="I22" s="475">
        <f>2827112-800571.1</f>
        <v>2026540.9</v>
      </c>
      <c r="J22" s="296"/>
      <c r="K22" s="296"/>
      <c r="L22" s="296">
        <f>2590-2590</f>
        <v>0</v>
      </c>
      <c r="M22" s="295">
        <f t="shared" si="7"/>
        <v>0</v>
      </c>
      <c r="N22" s="296"/>
      <c r="O22" s="296"/>
      <c r="P22" s="296"/>
      <c r="Q22" s="296"/>
      <c r="R22" s="296"/>
      <c r="S22" s="297">
        <f t="shared" si="8"/>
        <v>2026540.9</v>
      </c>
      <c r="T22" s="43">
        <f t="shared" si="2"/>
        <v>2026540.9</v>
      </c>
      <c r="U22" s="43">
        <f t="shared" si="3"/>
        <v>0</v>
      </c>
    </row>
    <row r="23" spans="1:21" s="26" customFormat="1" ht="42.75" customHeight="1">
      <c r="A23" s="52"/>
      <c r="B23" s="52"/>
      <c r="C23" s="52"/>
      <c r="D23" s="473" t="s">
        <v>628</v>
      </c>
      <c r="E23" s="473" t="s">
        <v>629</v>
      </c>
      <c r="F23" s="473" t="s">
        <v>108</v>
      </c>
      <c r="G23" s="474" t="s">
        <v>630</v>
      </c>
      <c r="H23" s="295">
        <f t="shared" si="6"/>
        <v>117350</v>
      </c>
      <c r="I23" s="653">
        <v>117350</v>
      </c>
      <c r="J23" s="296"/>
      <c r="K23" s="296"/>
      <c r="L23" s="296"/>
      <c r="M23" s="295">
        <f t="shared" si="7"/>
        <v>0</v>
      </c>
      <c r="N23" s="296"/>
      <c r="O23" s="296"/>
      <c r="P23" s="296"/>
      <c r="Q23" s="296"/>
      <c r="R23" s="296"/>
      <c r="S23" s="297">
        <f t="shared" si="8"/>
        <v>117350</v>
      </c>
      <c r="T23" s="43"/>
      <c r="U23" s="43"/>
    </row>
    <row r="24" spans="1:21" s="26" customFormat="1" ht="36.75" customHeight="1">
      <c r="A24" s="151" t="s">
        <v>106</v>
      </c>
      <c r="B24" s="151" t="s">
        <v>107</v>
      </c>
      <c r="C24" s="151" t="s">
        <v>108</v>
      </c>
      <c r="D24" s="473" t="s">
        <v>321</v>
      </c>
      <c r="E24" s="473" t="s">
        <v>322</v>
      </c>
      <c r="F24" s="473" t="s">
        <v>108</v>
      </c>
      <c r="G24" s="474" t="s">
        <v>323</v>
      </c>
      <c r="H24" s="295">
        <f t="shared" si="6"/>
        <v>1347400</v>
      </c>
      <c r="I24" s="296">
        <v>1347400</v>
      </c>
      <c r="J24" s="296"/>
      <c r="K24" s="296"/>
      <c r="L24" s="296"/>
      <c r="M24" s="295">
        <f t="shared" si="7"/>
        <v>0</v>
      </c>
      <c r="N24" s="296"/>
      <c r="O24" s="296"/>
      <c r="P24" s="296"/>
      <c r="Q24" s="296"/>
      <c r="R24" s="296"/>
      <c r="S24" s="297">
        <f t="shared" si="8"/>
        <v>1347400</v>
      </c>
      <c r="T24" s="43">
        <f t="shared" si="2"/>
        <v>1347400</v>
      </c>
      <c r="U24" s="43">
        <f t="shared" si="3"/>
        <v>0</v>
      </c>
    </row>
    <row r="25" spans="1:21" s="26" customFormat="1" ht="39" customHeight="1">
      <c r="A25" s="52"/>
      <c r="B25" s="52"/>
      <c r="C25" s="52"/>
      <c r="D25" s="473" t="s">
        <v>12</v>
      </c>
      <c r="E25" s="473" t="s">
        <v>11</v>
      </c>
      <c r="F25" s="473" t="s">
        <v>108</v>
      </c>
      <c r="G25" s="490" t="s">
        <v>10</v>
      </c>
      <c r="H25" s="295">
        <f t="shared" si="6"/>
        <v>267300</v>
      </c>
      <c r="I25" s="296">
        <v>267300</v>
      </c>
      <c r="J25" s="295"/>
      <c r="K25" s="295"/>
      <c r="L25" s="295"/>
      <c r="M25" s="295">
        <f t="shared" si="7"/>
        <v>0</v>
      </c>
      <c r="N25" s="296"/>
      <c r="O25" s="295"/>
      <c r="P25" s="295"/>
      <c r="Q25" s="295"/>
      <c r="R25" s="295"/>
      <c r="S25" s="297">
        <f t="shared" si="8"/>
        <v>267300</v>
      </c>
      <c r="T25" s="43">
        <f aca="true" t="shared" si="9" ref="T25:T80">H25+M25</f>
        <v>267300</v>
      </c>
      <c r="U25" s="43">
        <f aca="true" t="shared" si="10" ref="U25:U80">T25-S25</f>
        <v>0</v>
      </c>
    </row>
    <row r="26" spans="1:21" s="26" customFormat="1" ht="39" customHeight="1">
      <c r="A26" s="52"/>
      <c r="B26" s="52"/>
      <c r="C26" s="52"/>
      <c r="D26" s="473" t="s">
        <v>631</v>
      </c>
      <c r="E26" s="473" t="s">
        <v>632</v>
      </c>
      <c r="F26" s="473" t="s">
        <v>108</v>
      </c>
      <c r="G26" s="683" t="s">
        <v>633</v>
      </c>
      <c r="H26" s="295">
        <f t="shared" si="6"/>
        <v>1194880</v>
      </c>
      <c r="I26" s="653">
        <v>1194880</v>
      </c>
      <c r="J26" s="295"/>
      <c r="K26" s="295"/>
      <c r="L26" s="295"/>
      <c r="M26" s="295">
        <f t="shared" si="7"/>
        <v>0</v>
      </c>
      <c r="N26" s="296"/>
      <c r="O26" s="295"/>
      <c r="P26" s="295"/>
      <c r="Q26" s="295"/>
      <c r="R26" s="295"/>
      <c r="S26" s="297">
        <f t="shared" si="8"/>
        <v>1194880</v>
      </c>
      <c r="T26" s="43"/>
      <c r="U26" s="43"/>
    </row>
    <row r="27" spans="1:21" s="26" customFormat="1" ht="40.5" customHeight="1">
      <c r="A27" s="151" t="s">
        <v>426</v>
      </c>
      <c r="B27" s="151">
        <v>3131</v>
      </c>
      <c r="C27" s="151">
        <v>1040</v>
      </c>
      <c r="D27" s="473" t="s">
        <v>324</v>
      </c>
      <c r="E27" s="473" t="s">
        <v>326</v>
      </c>
      <c r="F27" s="473">
        <v>1040</v>
      </c>
      <c r="G27" s="491" t="s">
        <v>325</v>
      </c>
      <c r="H27" s="295">
        <f t="shared" si="6"/>
        <v>903617</v>
      </c>
      <c r="I27" s="296">
        <v>903617</v>
      </c>
      <c r="J27" s="296">
        <f>722217-5204</f>
        <v>717013</v>
      </c>
      <c r="K27" s="296">
        <f>15243+192</f>
        <v>15435</v>
      </c>
      <c r="L27" s="296"/>
      <c r="M27" s="295">
        <f t="shared" si="7"/>
        <v>0</v>
      </c>
      <c r="N27" s="296"/>
      <c r="O27" s="296"/>
      <c r="P27" s="296"/>
      <c r="Q27" s="296"/>
      <c r="R27" s="296"/>
      <c r="S27" s="297">
        <f t="shared" si="8"/>
        <v>903617</v>
      </c>
      <c r="T27" s="43">
        <f t="shared" si="9"/>
        <v>903617</v>
      </c>
      <c r="U27" s="43">
        <f t="shared" si="10"/>
        <v>0</v>
      </c>
    </row>
    <row r="28" spans="1:21" s="25" customFormat="1" ht="44.25" customHeight="1">
      <c r="A28" s="151"/>
      <c r="B28" s="151"/>
      <c r="C28" s="151"/>
      <c r="D28" s="473" t="s">
        <v>194</v>
      </c>
      <c r="E28" s="473" t="s">
        <v>192</v>
      </c>
      <c r="F28" s="473" t="s">
        <v>781</v>
      </c>
      <c r="G28" s="474" t="s">
        <v>193</v>
      </c>
      <c r="H28" s="295">
        <f t="shared" si="6"/>
        <v>135670</v>
      </c>
      <c r="I28" s="296">
        <f>74670+61000</f>
        <v>135670</v>
      </c>
      <c r="J28" s="296"/>
      <c r="K28" s="296"/>
      <c r="L28" s="296"/>
      <c r="M28" s="295">
        <f t="shared" si="7"/>
        <v>0</v>
      </c>
      <c r="N28" s="296"/>
      <c r="O28" s="296"/>
      <c r="P28" s="296">
        <v>0</v>
      </c>
      <c r="Q28" s="296"/>
      <c r="R28" s="296"/>
      <c r="S28" s="297">
        <f t="shared" si="8"/>
        <v>135670</v>
      </c>
      <c r="T28" s="43">
        <f t="shared" si="9"/>
        <v>135670</v>
      </c>
      <c r="U28" s="43">
        <f t="shared" si="10"/>
        <v>0</v>
      </c>
    </row>
    <row r="29" spans="1:21" s="152" customFormat="1" ht="46.5" customHeight="1">
      <c r="A29" s="151"/>
      <c r="B29" s="151"/>
      <c r="C29" s="151"/>
      <c r="D29" s="473" t="s">
        <v>328</v>
      </c>
      <c r="E29" s="473" t="s">
        <v>68</v>
      </c>
      <c r="F29" s="473" t="s">
        <v>75</v>
      </c>
      <c r="G29" s="474" t="s">
        <v>327</v>
      </c>
      <c r="H29" s="295">
        <f>I29+L29</f>
        <v>1232128</v>
      </c>
      <c r="I29" s="296">
        <v>1232128</v>
      </c>
      <c r="J29" s="296">
        <v>857572</v>
      </c>
      <c r="K29" s="296">
        <v>120109</v>
      </c>
      <c r="L29" s="296"/>
      <c r="M29" s="295">
        <f t="shared" si="7"/>
        <v>0</v>
      </c>
      <c r="N29" s="296"/>
      <c r="O29" s="296">
        <v>0</v>
      </c>
      <c r="P29" s="296">
        <v>0</v>
      </c>
      <c r="Q29" s="296">
        <v>0</v>
      </c>
      <c r="R29" s="296"/>
      <c r="S29" s="297">
        <f t="shared" si="8"/>
        <v>1232128</v>
      </c>
      <c r="T29" s="43"/>
      <c r="U29" s="43"/>
    </row>
    <row r="30" spans="1:21" s="152" customFormat="1" ht="44.25" customHeight="1">
      <c r="A30" s="151"/>
      <c r="B30" s="151"/>
      <c r="C30" s="151"/>
      <c r="D30" s="473" t="s">
        <v>329</v>
      </c>
      <c r="E30" s="473" t="s">
        <v>69</v>
      </c>
      <c r="F30" s="473" t="s">
        <v>75</v>
      </c>
      <c r="G30" s="474" t="s">
        <v>77</v>
      </c>
      <c r="H30" s="295">
        <f>I30+L30</f>
        <v>808304</v>
      </c>
      <c r="I30" s="475">
        <f>762061+46243</f>
        <v>808304</v>
      </c>
      <c r="J30" s="296"/>
      <c r="K30" s="295"/>
      <c r="L30" s="296"/>
      <c r="M30" s="295">
        <f t="shared" si="7"/>
        <v>0</v>
      </c>
      <c r="N30" s="296"/>
      <c r="O30" s="296">
        <v>0</v>
      </c>
      <c r="P30" s="296">
        <v>0</v>
      </c>
      <c r="Q30" s="296">
        <v>0</v>
      </c>
      <c r="R30" s="296"/>
      <c r="S30" s="297">
        <f t="shared" si="8"/>
        <v>808304</v>
      </c>
      <c r="T30" s="43"/>
      <c r="U30" s="43"/>
    </row>
    <row r="31" spans="1:21" s="152" customFormat="1" ht="59.25" customHeight="1">
      <c r="A31" s="151"/>
      <c r="B31" s="151"/>
      <c r="C31" s="151"/>
      <c r="D31" s="473" t="s">
        <v>330</v>
      </c>
      <c r="E31" s="473" t="s">
        <v>182</v>
      </c>
      <c r="F31" s="473" t="s">
        <v>75</v>
      </c>
      <c r="G31" s="474" t="s">
        <v>181</v>
      </c>
      <c r="H31" s="295">
        <f>I31+L31</f>
        <v>295548</v>
      </c>
      <c r="I31" s="475">
        <f>310291-14743</f>
        <v>295548</v>
      </c>
      <c r="J31" s="296"/>
      <c r="K31" s="296"/>
      <c r="L31" s="296">
        <v>0</v>
      </c>
      <c r="M31" s="295">
        <f t="shared" si="7"/>
        <v>0</v>
      </c>
      <c r="N31" s="296"/>
      <c r="O31" s="296"/>
      <c r="P31" s="296">
        <v>0</v>
      </c>
      <c r="Q31" s="296">
        <v>0</v>
      </c>
      <c r="R31" s="296">
        <v>0</v>
      </c>
      <c r="S31" s="297">
        <f t="shared" si="8"/>
        <v>295548</v>
      </c>
      <c r="T31" s="43"/>
      <c r="U31" s="43"/>
    </row>
    <row r="32" spans="1:21" s="152" customFormat="1" ht="51" customHeight="1">
      <c r="A32" s="151"/>
      <c r="B32" s="151"/>
      <c r="C32" s="151"/>
      <c r="D32" s="473" t="s">
        <v>855</v>
      </c>
      <c r="E32" s="473" t="s">
        <v>856</v>
      </c>
      <c r="F32" s="473" t="s">
        <v>70</v>
      </c>
      <c r="G32" s="481" t="s">
        <v>354</v>
      </c>
      <c r="H32" s="295"/>
      <c r="I32" s="295"/>
      <c r="J32" s="295"/>
      <c r="K32" s="295"/>
      <c r="L32" s="295"/>
      <c r="M32" s="295">
        <f>O32</f>
        <v>233500</v>
      </c>
      <c r="N32" s="295"/>
      <c r="O32" s="296">
        <v>233500</v>
      </c>
      <c r="P32" s="295"/>
      <c r="Q32" s="295"/>
      <c r="R32" s="295"/>
      <c r="S32" s="297">
        <f t="shared" si="8"/>
        <v>233500</v>
      </c>
      <c r="T32" s="43"/>
      <c r="U32" s="43"/>
    </row>
    <row r="33" spans="1:21" s="25" customFormat="1" ht="56.25" customHeight="1">
      <c r="A33" s="147" t="s">
        <v>782</v>
      </c>
      <c r="B33" s="140"/>
      <c r="C33" s="140"/>
      <c r="D33" s="292" t="s">
        <v>339</v>
      </c>
      <c r="E33" s="298"/>
      <c r="F33" s="298"/>
      <c r="G33" s="293" t="s">
        <v>742</v>
      </c>
      <c r="H33" s="294">
        <f>H34</f>
        <v>123971073.53</v>
      </c>
      <c r="I33" s="294">
        <f aca="true" t="shared" si="11" ref="I33:S33">I34</f>
        <v>123971073.53</v>
      </c>
      <c r="J33" s="294">
        <f t="shared" si="11"/>
        <v>84627071</v>
      </c>
      <c r="K33" s="294">
        <f t="shared" si="11"/>
        <v>10212152</v>
      </c>
      <c r="L33" s="294">
        <f t="shared" si="11"/>
        <v>0</v>
      </c>
      <c r="M33" s="294">
        <f t="shared" si="11"/>
        <v>1487252</v>
      </c>
      <c r="N33" s="294">
        <f t="shared" si="11"/>
        <v>1317350</v>
      </c>
      <c r="O33" s="294">
        <f t="shared" si="11"/>
        <v>169902</v>
      </c>
      <c r="P33" s="294">
        <f t="shared" si="11"/>
        <v>27800</v>
      </c>
      <c r="Q33" s="294">
        <f t="shared" si="11"/>
        <v>0</v>
      </c>
      <c r="R33" s="294">
        <f t="shared" si="11"/>
        <v>1317350</v>
      </c>
      <c r="S33" s="294">
        <f t="shared" si="11"/>
        <v>125458325.53</v>
      </c>
      <c r="T33" s="43">
        <f t="shared" si="9"/>
        <v>125458325.53</v>
      </c>
      <c r="U33" s="43">
        <f t="shared" si="10"/>
        <v>0</v>
      </c>
    </row>
    <row r="34" spans="1:21" s="156" customFormat="1" ht="60.75" customHeight="1">
      <c r="A34" s="155" t="s">
        <v>215</v>
      </c>
      <c r="B34" s="155"/>
      <c r="C34" s="155"/>
      <c r="D34" s="292" t="s">
        <v>340</v>
      </c>
      <c r="E34" s="292"/>
      <c r="F34" s="292"/>
      <c r="G34" s="293" t="s">
        <v>742</v>
      </c>
      <c r="H34" s="294">
        <f>SUM(H35:H41)</f>
        <v>123971073.53</v>
      </c>
      <c r="I34" s="294">
        <f aca="true" t="shared" si="12" ref="I34:S34">SUM(I35:I41)</f>
        <v>123971073.53</v>
      </c>
      <c r="J34" s="294">
        <f t="shared" si="12"/>
        <v>84627071</v>
      </c>
      <c r="K34" s="294">
        <f t="shared" si="12"/>
        <v>10212152</v>
      </c>
      <c r="L34" s="294">
        <f t="shared" si="12"/>
        <v>0</v>
      </c>
      <c r="M34" s="294">
        <f t="shared" si="12"/>
        <v>1487252</v>
      </c>
      <c r="N34" s="294">
        <f t="shared" si="12"/>
        <v>1317350</v>
      </c>
      <c r="O34" s="294">
        <f t="shared" si="12"/>
        <v>169902</v>
      </c>
      <c r="P34" s="294">
        <f t="shared" si="12"/>
        <v>27800</v>
      </c>
      <c r="Q34" s="294">
        <f t="shared" si="12"/>
        <v>0</v>
      </c>
      <c r="R34" s="294">
        <f t="shared" si="12"/>
        <v>1317350</v>
      </c>
      <c r="S34" s="294">
        <f t="shared" si="12"/>
        <v>125458325.53</v>
      </c>
      <c r="T34" s="43">
        <f t="shared" si="9"/>
        <v>125458325.53</v>
      </c>
      <c r="U34" s="43">
        <f t="shared" si="10"/>
        <v>0</v>
      </c>
    </row>
    <row r="35" spans="1:21" s="26" customFormat="1" ht="77.25" customHeight="1">
      <c r="A35" s="52" t="s">
        <v>209</v>
      </c>
      <c r="B35" s="52">
        <v>1020</v>
      </c>
      <c r="C35" s="52" t="s">
        <v>431</v>
      </c>
      <c r="D35" s="473" t="s">
        <v>338</v>
      </c>
      <c r="E35" s="473">
        <v>1020</v>
      </c>
      <c r="F35" s="473" t="s">
        <v>431</v>
      </c>
      <c r="G35" s="474" t="s">
        <v>337</v>
      </c>
      <c r="H35" s="295">
        <f aca="true" t="shared" si="13" ref="H35:H41">L35+I35</f>
        <v>115313826.53</v>
      </c>
      <c r="I35" s="475">
        <f>106070848+9242978.53</f>
        <v>115313826.53</v>
      </c>
      <c r="J35" s="296">
        <f>76490473+2050000</f>
        <v>78540473</v>
      </c>
      <c r="K35" s="296">
        <f>9850899+12600</f>
        <v>9863499</v>
      </c>
      <c r="L35" s="296"/>
      <c r="M35" s="295">
        <f aca="true" t="shared" si="14" ref="M35:M41">O35+R35</f>
        <v>987252</v>
      </c>
      <c r="N35" s="296">
        <f>7350+810000</f>
        <v>817350</v>
      </c>
      <c r="O35" s="296">
        <v>169902</v>
      </c>
      <c r="P35" s="296">
        <v>27800</v>
      </c>
      <c r="Q35" s="296"/>
      <c r="R35" s="296">
        <f>7350+810000</f>
        <v>817350</v>
      </c>
      <c r="S35" s="297">
        <f aca="true" t="shared" si="15" ref="S35:S42">H35+M35</f>
        <v>116301078.53</v>
      </c>
      <c r="T35" s="43">
        <f t="shared" si="9"/>
        <v>116301078.53</v>
      </c>
      <c r="U35" s="43">
        <f t="shared" si="10"/>
        <v>0</v>
      </c>
    </row>
    <row r="36" spans="1:21" s="26" customFormat="1" ht="48.75" customHeight="1">
      <c r="A36" s="52" t="s">
        <v>212</v>
      </c>
      <c r="B36" s="52">
        <v>1090</v>
      </c>
      <c r="C36" s="52" t="s">
        <v>211</v>
      </c>
      <c r="D36" s="473" t="s">
        <v>406</v>
      </c>
      <c r="E36" s="473" t="s">
        <v>781</v>
      </c>
      <c r="F36" s="473" t="s">
        <v>211</v>
      </c>
      <c r="G36" s="474" t="s">
        <v>210</v>
      </c>
      <c r="H36" s="295">
        <f t="shared" si="13"/>
        <v>1902573</v>
      </c>
      <c r="I36" s="296">
        <v>1902573</v>
      </c>
      <c r="J36" s="296">
        <v>1546706</v>
      </c>
      <c r="K36" s="296">
        <v>14443</v>
      </c>
      <c r="L36" s="296">
        <v>0</v>
      </c>
      <c r="M36" s="295">
        <f t="shared" si="14"/>
        <v>0</v>
      </c>
      <c r="N36" s="296"/>
      <c r="O36" s="296"/>
      <c r="P36" s="296"/>
      <c r="Q36" s="296"/>
      <c r="R36" s="296"/>
      <c r="S36" s="297">
        <f t="shared" si="15"/>
        <v>1902573</v>
      </c>
      <c r="T36" s="43">
        <f t="shared" si="9"/>
        <v>1902573</v>
      </c>
      <c r="U36" s="43">
        <f t="shared" si="10"/>
        <v>0</v>
      </c>
    </row>
    <row r="37" spans="1:21" s="158" customFormat="1" ht="31.5" customHeight="1">
      <c r="A37" s="157" t="s">
        <v>214</v>
      </c>
      <c r="B37" s="157">
        <v>1170</v>
      </c>
      <c r="C37" s="157" t="s">
        <v>213</v>
      </c>
      <c r="D37" s="473" t="s">
        <v>342</v>
      </c>
      <c r="E37" s="473" t="s">
        <v>343</v>
      </c>
      <c r="F37" s="473" t="s">
        <v>213</v>
      </c>
      <c r="G37" s="474" t="s">
        <v>341</v>
      </c>
      <c r="H37" s="295">
        <f t="shared" si="13"/>
        <v>874954</v>
      </c>
      <c r="I37" s="296">
        <v>874954</v>
      </c>
      <c r="J37" s="296">
        <v>680711</v>
      </c>
      <c r="K37" s="296">
        <f>41039+700</f>
        <v>41739</v>
      </c>
      <c r="L37" s="296"/>
      <c r="M37" s="295">
        <f t="shared" si="14"/>
        <v>0</v>
      </c>
      <c r="N37" s="296"/>
      <c r="O37" s="296"/>
      <c r="P37" s="296"/>
      <c r="Q37" s="296"/>
      <c r="R37" s="296"/>
      <c r="S37" s="297">
        <f t="shared" si="15"/>
        <v>874954</v>
      </c>
      <c r="T37" s="43">
        <f t="shared" si="9"/>
        <v>874954</v>
      </c>
      <c r="U37" s="43">
        <f t="shared" si="10"/>
        <v>0</v>
      </c>
    </row>
    <row r="38" spans="1:21" s="158" customFormat="1" ht="28.5" customHeight="1">
      <c r="A38" s="157"/>
      <c r="B38" s="157" t="s">
        <v>268</v>
      </c>
      <c r="C38" s="157"/>
      <c r="D38" s="473" t="s">
        <v>195</v>
      </c>
      <c r="E38" s="473" t="s">
        <v>196</v>
      </c>
      <c r="F38" s="473" t="s">
        <v>213</v>
      </c>
      <c r="G38" s="474" t="s">
        <v>199</v>
      </c>
      <c r="H38" s="295">
        <f t="shared" si="13"/>
        <v>5045740</v>
      </c>
      <c r="I38" s="296">
        <v>5045740</v>
      </c>
      <c r="J38" s="296">
        <v>3859181</v>
      </c>
      <c r="K38" s="296">
        <f>291571+900</f>
        <v>292471</v>
      </c>
      <c r="L38" s="296"/>
      <c r="M38" s="295">
        <f t="shared" si="14"/>
        <v>0</v>
      </c>
      <c r="N38" s="296"/>
      <c r="O38" s="296"/>
      <c r="P38" s="296"/>
      <c r="Q38" s="296"/>
      <c r="R38" s="296"/>
      <c r="S38" s="297">
        <f t="shared" si="15"/>
        <v>5045740</v>
      </c>
      <c r="T38" s="43">
        <f t="shared" si="9"/>
        <v>5045740</v>
      </c>
      <c r="U38" s="43">
        <f t="shared" si="10"/>
        <v>0</v>
      </c>
    </row>
    <row r="39" spans="1:21" s="158" customFormat="1" ht="33.75" customHeight="1">
      <c r="A39" s="157"/>
      <c r="B39" s="157" t="s">
        <v>783</v>
      </c>
      <c r="C39" s="157"/>
      <c r="D39" s="473" t="s">
        <v>197</v>
      </c>
      <c r="E39" s="473" t="s">
        <v>198</v>
      </c>
      <c r="F39" s="473" t="s">
        <v>213</v>
      </c>
      <c r="G39" s="474" t="s">
        <v>200</v>
      </c>
      <c r="H39" s="295">
        <f t="shared" si="13"/>
        <v>516200</v>
      </c>
      <c r="I39" s="296">
        <f>480000+36200</f>
        <v>516200</v>
      </c>
      <c r="J39" s="296"/>
      <c r="K39" s="296"/>
      <c r="L39" s="296"/>
      <c r="M39" s="295">
        <f t="shared" si="14"/>
        <v>0</v>
      </c>
      <c r="N39" s="296"/>
      <c r="O39" s="296"/>
      <c r="P39" s="296"/>
      <c r="Q39" s="296"/>
      <c r="R39" s="296"/>
      <c r="S39" s="297">
        <f t="shared" si="15"/>
        <v>516200</v>
      </c>
      <c r="T39" s="43">
        <f t="shared" si="9"/>
        <v>516200</v>
      </c>
      <c r="U39" s="43">
        <f t="shared" si="10"/>
        <v>0</v>
      </c>
    </row>
    <row r="40" spans="1:21" s="158" customFormat="1" ht="41.25" customHeight="1">
      <c r="A40" s="157"/>
      <c r="B40" s="157"/>
      <c r="C40" s="157"/>
      <c r="D40" s="473" t="s">
        <v>203</v>
      </c>
      <c r="E40" s="479">
        <v>5011</v>
      </c>
      <c r="F40" s="473" t="s">
        <v>75</v>
      </c>
      <c r="G40" s="474" t="s">
        <v>74</v>
      </c>
      <c r="H40" s="295">
        <f t="shared" si="13"/>
        <v>317780</v>
      </c>
      <c r="I40" s="296">
        <v>317780</v>
      </c>
      <c r="J40" s="295"/>
      <c r="K40" s="295"/>
      <c r="L40" s="296"/>
      <c r="M40" s="295">
        <f t="shared" si="14"/>
        <v>0</v>
      </c>
      <c r="N40" s="296"/>
      <c r="O40" s="296"/>
      <c r="P40" s="296"/>
      <c r="Q40" s="296"/>
      <c r="R40" s="296"/>
      <c r="S40" s="297">
        <f>H40+M40</f>
        <v>317780</v>
      </c>
      <c r="T40" s="43"/>
      <c r="U40" s="43"/>
    </row>
    <row r="41" spans="1:21" s="158" customFormat="1" ht="57.75" customHeight="1">
      <c r="A41" s="157"/>
      <c r="B41" s="157"/>
      <c r="C41" s="157"/>
      <c r="D41" s="471" t="s">
        <v>634</v>
      </c>
      <c r="E41" s="471" t="s">
        <v>635</v>
      </c>
      <c r="F41" s="471" t="s">
        <v>376</v>
      </c>
      <c r="G41" s="472" t="s">
        <v>636</v>
      </c>
      <c r="H41" s="295">
        <f t="shared" si="13"/>
        <v>0</v>
      </c>
      <c r="I41" s="296"/>
      <c r="J41" s="296"/>
      <c r="K41" s="296"/>
      <c r="L41" s="296"/>
      <c r="M41" s="295">
        <f t="shared" si="14"/>
        <v>500000</v>
      </c>
      <c r="N41" s="296">
        <v>500000</v>
      </c>
      <c r="O41" s="296"/>
      <c r="P41" s="296"/>
      <c r="Q41" s="296"/>
      <c r="R41" s="296">
        <v>500000</v>
      </c>
      <c r="S41" s="297">
        <f>H41+M41</f>
        <v>500000</v>
      </c>
      <c r="T41" s="43">
        <f t="shared" si="9"/>
        <v>500000</v>
      </c>
      <c r="U41" s="43">
        <f t="shared" si="10"/>
        <v>0</v>
      </c>
    </row>
    <row r="42" spans="1:21" s="158" customFormat="1" ht="48.75" customHeight="1">
      <c r="A42" s="155">
        <v>1500000</v>
      </c>
      <c r="B42" s="157"/>
      <c r="C42" s="157"/>
      <c r="D42" s="292" t="s">
        <v>346</v>
      </c>
      <c r="E42" s="298"/>
      <c r="F42" s="298"/>
      <c r="G42" s="293" t="s">
        <v>347</v>
      </c>
      <c r="H42" s="294">
        <f>H43</f>
        <v>191208237</v>
      </c>
      <c r="I42" s="294">
        <f>I43</f>
        <v>191208237</v>
      </c>
      <c r="J42" s="294">
        <f>J43</f>
        <v>5283052</v>
      </c>
      <c r="K42" s="294">
        <f>K43</f>
        <v>79171</v>
      </c>
      <c r="L42" s="294"/>
      <c r="M42" s="294">
        <f>M43</f>
        <v>91639</v>
      </c>
      <c r="N42" s="294">
        <f>N43</f>
        <v>0</v>
      </c>
      <c r="O42" s="294">
        <f>O43</f>
        <v>91639</v>
      </c>
      <c r="P42" s="294">
        <f>P43</f>
        <v>75114</v>
      </c>
      <c r="Q42" s="294"/>
      <c r="R42" s="294">
        <f>R43</f>
        <v>0</v>
      </c>
      <c r="S42" s="294">
        <f t="shared" si="15"/>
        <v>191299876</v>
      </c>
      <c r="T42" s="43">
        <f t="shared" si="9"/>
        <v>191299876</v>
      </c>
      <c r="U42" s="43">
        <f t="shared" si="10"/>
        <v>0</v>
      </c>
    </row>
    <row r="43" spans="1:21" s="156" customFormat="1" ht="51" customHeight="1">
      <c r="A43" s="155" t="s">
        <v>216</v>
      </c>
      <c r="B43" s="155"/>
      <c r="C43" s="155"/>
      <c r="D43" s="292" t="s">
        <v>345</v>
      </c>
      <c r="E43" s="292"/>
      <c r="F43" s="292"/>
      <c r="G43" s="293" t="s">
        <v>347</v>
      </c>
      <c r="H43" s="294">
        <f>SUM(H44:H70)</f>
        <v>191208237</v>
      </c>
      <c r="I43" s="294">
        <f aca="true" t="shared" si="16" ref="I43:S43">SUM(I44:I70)</f>
        <v>191208237</v>
      </c>
      <c r="J43" s="294">
        <f t="shared" si="16"/>
        <v>5283052</v>
      </c>
      <c r="K43" s="294">
        <f t="shared" si="16"/>
        <v>79171</v>
      </c>
      <c r="L43" s="294">
        <f t="shared" si="16"/>
        <v>0</v>
      </c>
      <c r="M43" s="294">
        <f t="shared" si="16"/>
        <v>91639</v>
      </c>
      <c r="N43" s="294">
        <f t="shared" si="16"/>
        <v>0</v>
      </c>
      <c r="O43" s="294">
        <f t="shared" si="16"/>
        <v>91639</v>
      </c>
      <c r="P43" s="294">
        <f t="shared" si="16"/>
        <v>75114</v>
      </c>
      <c r="Q43" s="294">
        <f t="shared" si="16"/>
        <v>0</v>
      </c>
      <c r="R43" s="294">
        <f t="shared" si="16"/>
        <v>0</v>
      </c>
      <c r="S43" s="294">
        <f t="shared" si="16"/>
        <v>191299876</v>
      </c>
      <c r="T43" s="43">
        <f t="shared" si="9"/>
        <v>191299876</v>
      </c>
      <c r="U43" s="43">
        <f t="shared" si="10"/>
        <v>0</v>
      </c>
    </row>
    <row r="44" spans="1:21" s="158" customFormat="1" ht="57.75" customHeight="1">
      <c r="A44" s="261" t="s">
        <v>680</v>
      </c>
      <c r="B44" s="262" t="s">
        <v>759</v>
      </c>
      <c r="C44" s="261">
        <v>1030</v>
      </c>
      <c r="D44" s="473" t="s">
        <v>760</v>
      </c>
      <c r="E44" s="473">
        <v>3011</v>
      </c>
      <c r="F44" s="473">
        <v>1030</v>
      </c>
      <c r="G44" s="474" t="s">
        <v>350</v>
      </c>
      <c r="H44" s="295">
        <f aca="true" t="shared" si="17" ref="H44:H50">L44+I44</f>
        <v>13900000</v>
      </c>
      <c r="I44" s="296">
        <v>13900000</v>
      </c>
      <c r="J44" s="296"/>
      <c r="K44" s="296"/>
      <c r="L44" s="296"/>
      <c r="M44" s="295">
        <f>O44+R44</f>
        <v>0</v>
      </c>
      <c r="N44" s="296"/>
      <c r="O44" s="296"/>
      <c r="P44" s="296"/>
      <c r="Q44" s="296"/>
      <c r="R44" s="296"/>
      <c r="S44" s="297">
        <f>H44+M44</f>
        <v>13900000</v>
      </c>
      <c r="T44" s="43">
        <f t="shared" si="9"/>
        <v>13900000</v>
      </c>
      <c r="U44" s="43">
        <f t="shared" si="10"/>
        <v>0</v>
      </c>
    </row>
    <row r="45" spans="1:21" s="154" customFormat="1" ht="41.25" customHeight="1">
      <c r="A45" s="159" t="s">
        <v>126</v>
      </c>
      <c r="B45" s="159" t="s">
        <v>779</v>
      </c>
      <c r="C45" s="159" t="s">
        <v>129</v>
      </c>
      <c r="D45" s="484" t="s">
        <v>351</v>
      </c>
      <c r="E45" s="484" t="s">
        <v>352</v>
      </c>
      <c r="F45" s="484" t="s">
        <v>129</v>
      </c>
      <c r="G45" s="485" t="s">
        <v>125</v>
      </c>
      <c r="H45" s="295">
        <f t="shared" si="17"/>
        <v>55379200</v>
      </c>
      <c r="I45" s="534">
        <v>55379200</v>
      </c>
      <c r="J45" s="534"/>
      <c r="K45" s="534"/>
      <c r="L45" s="534"/>
      <c r="M45" s="295">
        <f aca="true" t="shared" si="18" ref="M45:M70">O45+R45</f>
        <v>0</v>
      </c>
      <c r="N45" s="536"/>
      <c r="O45" s="534"/>
      <c r="P45" s="534"/>
      <c r="Q45" s="534"/>
      <c r="R45" s="534"/>
      <c r="S45" s="297">
        <f aca="true" t="shared" si="19" ref="S45:S70">H45+M45</f>
        <v>55379200</v>
      </c>
      <c r="T45" s="43">
        <f t="shared" si="9"/>
        <v>55379200</v>
      </c>
      <c r="U45" s="43">
        <f t="shared" si="10"/>
        <v>0</v>
      </c>
    </row>
    <row r="46" spans="1:21" s="154" customFormat="1" ht="59.25" customHeight="1">
      <c r="A46" s="153" t="s">
        <v>681</v>
      </c>
      <c r="B46" s="260" t="s">
        <v>353</v>
      </c>
      <c r="C46" s="153">
        <v>1030</v>
      </c>
      <c r="D46" s="473" t="s">
        <v>356</v>
      </c>
      <c r="E46" s="473">
        <v>3021</v>
      </c>
      <c r="F46" s="473">
        <v>1030</v>
      </c>
      <c r="G46" s="474" t="s">
        <v>355</v>
      </c>
      <c r="H46" s="295">
        <f t="shared" si="17"/>
        <v>710500</v>
      </c>
      <c r="I46" s="296">
        <v>710500</v>
      </c>
      <c r="J46" s="296">
        <v>0</v>
      </c>
      <c r="K46" s="296">
        <v>0</v>
      </c>
      <c r="L46" s="296">
        <v>0</v>
      </c>
      <c r="M46" s="295">
        <f t="shared" si="18"/>
        <v>0</v>
      </c>
      <c r="N46" s="296"/>
      <c r="O46" s="296"/>
      <c r="P46" s="296">
        <v>0</v>
      </c>
      <c r="Q46" s="296">
        <v>0</v>
      </c>
      <c r="R46" s="296">
        <v>0</v>
      </c>
      <c r="S46" s="297">
        <f t="shared" si="19"/>
        <v>710500</v>
      </c>
      <c r="T46" s="43">
        <f t="shared" si="9"/>
        <v>710500</v>
      </c>
      <c r="U46" s="43">
        <f t="shared" si="10"/>
        <v>0</v>
      </c>
    </row>
    <row r="47" spans="1:21" s="154" customFormat="1" ht="56.25" customHeight="1">
      <c r="A47" s="153" t="s">
        <v>130</v>
      </c>
      <c r="B47" s="153" t="s">
        <v>128</v>
      </c>
      <c r="C47" s="153" t="s">
        <v>129</v>
      </c>
      <c r="D47" s="473" t="s">
        <v>357</v>
      </c>
      <c r="E47" s="486" t="s">
        <v>183</v>
      </c>
      <c r="F47" s="486" t="s">
        <v>129</v>
      </c>
      <c r="G47" s="487" t="s">
        <v>127</v>
      </c>
      <c r="H47" s="295">
        <f t="shared" si="17"/>
        <v>3467200</v>
      </c>
      <c r="I47" s="535">
        <v>3467200</v>
      </c>
      <c r="J47" s="535">
        <v>0</v>
      </c>
      <c r="K47" s="535">
        <v>0</v>
      </c>
      <c r="L47" s="535">
        <v>0</v>
      </c>
      <c r="M47" s="295">
        <f t="shared" si="18"/>
        <v>0</v>
      </c>
      <c r="N47" s="537"/>
      <c r="O47" s="535">
        <v>0</v>
      </c>
      <c r="P47" s="535">
        <v>0</v>
      </c>
      <c r="Q47" s="535">
        <v>0</v>
      </c>
      <c r="R47" s="535">
        <v>0</v>
      </c>
      <c r="S47" s="297">
        <f t="shared" si="19"/>
        <v>3467200</v>
      </c>
      <c r="T47" s="43">
        <f t="shared" si="9"/>
        <v>3467200</v>
      </c>
      <c r="U47" s="43">
        <f t="shared" si="10"/>
        <v>0</v>
      </c>
    </row>
    <row r="48" spans="1:21" s="25" customFormat="1" ht="45" customHeight="1">
      <c r="A48" s="153" t="s">
        <v>171</v>
      </c>
      <c r="B48" s="263" t="s">
        <v>358</v>
      </c>
      <c r="C48" s="153" t="s">
        <v>784</v>
      </c>
      <c r="D48" s="473" t="s">
        <v>255</v>
      </c>
      <c r="E48" s="473" t="s">
        <v>172</v>
      </c>
      <c r="F48" s="473" t="s">
        <v>784</v>
      </c>
      <c r="G48" s="474" t="s">
        <v>254</v>
      </c>
      <c r="H48" s="295">
        <f t="shared" si="17"/>
        <v>106314</v>
      </c>
      <c r="I48" s="296">
        <v>106314</v>
      </c>
      <c r="J48" s="296"/>
      <c r="K48" s="296"/>
      <c r="L48" s="296"/>
      <c r="M48" s="295">
        <f t="shared" si="18"/>
        <v>0</v>
      </c>
      <c r="N48" s="296"/>
      <c r="O48" s="296"/>
      <c r="P48" s="296"/>
      <c r="Q48" s="296"/>
      <c r="R48" s="296"/>
      <c r="S48" s="297">
        <f t="shared" si="19"/>
        <v>106314</v>
      </c>
      <c r="T48" s="43">
        <f t="shared" si="9"/>
        <v>106314</v>
      </c>
      <c r="U48" s="43">
        <f t="shared" si="10"/>
        <v>0</v>
      </c>
    </row>
    <row r="49" spans="1:21" s="25" customFormat="1" ht="41.25" customHeight="1">
      <c r="A49" s="153" t="s">
        <v>430</v>
      </c>
      <c r="B49" s="153" t="s">
        <v>858</v>
      </c>
      <c r="C49" s="153" t="s">
        <v>99</v>
      </c>
      <c r="D49" s="473" t="s">
        <v>257</v>
      </c>
      <c r="E49" s="473" t="s">
        <v>256</v>
      </c>
      <c r="F49" s="473" t="s">
        <v>99</v>
      </c>
      <c r="G49" s="474" t="s">
        <v>859</v>
      </c>
      <c r="H49" s="295">
        <f t="shared" si="17"/>
        <v>275360</v>
      </c>
      <c r="I49" s="296">
        <f>275370-10</f>
        <v>275360</v>
      </c>
      <c r="J49" s="296"/>
      <c r="K49" s="296"/>
      <c r="L49" s="296"/>
      <c r="M49" s="295">
        <f t="shared" si="18"/>
        <v>0</v>
      </c>
      <c r="N49" s="296"/>
      <c r="O49" s="296"/>
      <c r="P49" s="296"/>
      <c r="Q49" s="296"/>
      <c r="R49" s="296"/>
      <c r="S49" s="297">
        <f t="shared" si="19"/>
        <v>275360</v>
      </c>
      <c r="T49" s="43">
        <f t="shared" si="9"/>
        <v>275360</v>
      </c>
      <c r="U49" s="43">
        <f t="shared" si="10"/>
        <v>0</v>
      </c>
    </row>
    <row r="50" spans="1:21" s="25" customFormat="1" ht="41.25" customHeight="1">
      <c r="A50" s="153"/>
      <c r="B50" s="153"/>
      <c r="C50" s="153"/>
      <c r="D50" s="473" t="s">
        <v>365</v>
      </c>
      <c r="E50" s="473" t="s">
        <v>258</v>
      </c>
      <c r="F50" s="473" t="s">
        <v>99</v>
      </c>
      <c r="G50" s="488" t="s">
        <v>366</v>
      </c>
      <c r="H50" s="295">
        <f t="shared" si="17"/>
        <v>29400</v>
      </c>
      <c r="I50" s="296">
        <f>19940+9460</f>
        <v>29400</v>
      </c>
      <c r="J50" s="296"/>
      <c r="K50" s="296"/>
      <c r="L50" s="296"/>
      <c r="M50" s="295">
        <f t="shared" si="18"/>
        <v>0</v>
      </c>
      <c r="N50" s="296"/>
      <c r="O50" s="296"/>
      <c r="P50" s="296"/>
      <c r="Q50" s="296"/>
      <c r="R50" s="296"/>
      <c r="S50" s="297">
        <f t="shared" si="19"/>
        <v>29400</v>
      </c>
      <c r="T50" s="43">
        <f t="shared" si="9"/>
        <v>29400</v>
      </c>
      <c r="U50" s="43">
        <f t="shared" si="10"/>
        <v>0</v>
      </c>
    </row>
    <row r="51" spans="1:21" s="154" customFormat="1" ht="27.75" customHeight="1">
      <c r="A51" s="153" t="s">
        <v>442</v>
      </c>
      <c r="B51" s="153">
        <v>3041</v>
      </c>
      <c r="C51" s="153">
        <v>1040</v>
      </c>
      <c r="D51" s="473" t="s">
        <v>259</v>
      </c>
      <c r="E51" s="473">
        <v>3041</v>
      </c>
      <c r="F51" s="473">
        <v>1040</v>
      </c>
      <c r="G51" s="474" t="s">
        <v>441</v>
      </c>
      <c r="H51" s="295">
        <f aca="true" t="shared" si="20" ref="H51:H63">L51+I51</f>
        <v>653300</v>
      </c>
      <c r="I51" s="296">
        <v>653300</v>
      </c>
      <c r="J51" s="296"/>
      <c r="K51" s="296">
        <v>0</v>
      </c>
      <c r="L51" s="296"/>
      <c r="M51" s="295">
        <f t="shared" si="18"/>
        <v>0</v>
      </c>
      <c r="N51" s="296"/>
      <c r="O51" s="296">
        <v>0</v>
      </c>
      <c r="P51" s="296">
        <v>0</v>
      </c>
      <c r="Q51" s="296">
        <v>0</v>
      </c>
      <c r="R51" s="296">
        <v>0</v>
      </c>
      <c r="S51" s="297">
        <f t="shared" si="19"/>
        <v>653300</v>
      </c>
      <c r="T51" s="43">
        <f t="shared" si="9"/>
        <v>653300</v>
      </c>
      <c r="U51" s="43">
        <f t="shared" si="10"/>
        <v>0</v>
      </c>
    </row>
    <row r="52" spans="1:21" s="154" customFormat="1" ht="28.5" customHeight="1">
      <c r="A52" s="153" t="s">
        <v>443</v>
      </c>
      <c r="B52" s="153">
        <v>3042</v>
      </c>
      <c r="C52" s="153">
        <v>1040</v>
      </c>
      <c r="D52" s="473" t="s">
        <v>260</v>
      </c>
      <c r="E52" s="473">
        <v>3042</v>
      </c>
      <c r="F52" s="473">
        <v>1040</v>
      </c>
      <c r="G52" s="489" t="s">
        <v>408</v>
      </c>
      <c r="H52" s="295">
        <f t="shared" si="20"/>
        <v>164600</v>
      </c>
      <c r="I52" s="296">
        <v>164600</v>
      </c>
      <c r="J52" s="296"/>
      <c r="K52" s="296">
        <v>0</v>
      </c>
      <c r="L52" s="296">
        <v>0</v>
      </c>
      <c r="M52" s="295">
        <f t="shared" si="18"/>
        <v>0</v>
      </c>
      <c r="N52" s="296"/>
      <c r="O52" s="296">
        <v>0</v>
      </c>
      <c r="P52" s="296">
        <v>0</v>
      </c>
      <c r="Q52" s="296">
        <v>0</v>
      </c>
      <c r="R52" s="296">
        <v>0</v>
      </c>
      <c r="S52" s="297">
        <f t="shared" si="19"/>
        <v>164600</v>
      </c>
      <c r="T52" s="43">
        <f t="shared" si="9"/>
        <v>164600</v>
      </c>
      <c r="U52" s="43">
        <f t="shared" si="10"/>
        <v>0</v>
      </c>
    </row>
    <row r="53" spans="1:21" s="154" customFormat="1" ht="30" customHeight="1">
      <c r="A53" s="153" t="s">
        <v>445</v>
      </c>
      <c r="B53" s="153">
        <v>3043</v>
      </c>
      <c r="C53" s="153">
        <v>1040</v>
      </c>
      <c r="D53" s="473" t="s">
        <v>261</v>
      </c>
      <c r="E53" s="473">
        <v>3043</v>
      </c>
      <c r="F53" s="473">
        <v>1040</v>
      </c>
      <c r="G53" s="474" t="s">
        <v>444</v>
      </c>
      <c r="H53" s="295">
        <f t="shared" si="20"/>
        <v>44791000</v>
      </c>
      <c r="I53" s="296">
        <v>44791000</v>
      </c>
      <c r="J53" s="296"/>
      <c r="K53" s="296">
        <v>0</v>
      </c>
      <c r="L53" s="296">
        <v>0</v>
      </c>
      <c r="M53" s="295">
        <f t="shared" si="18"/>
        <v>0</v>
      </c>
      <c r="N53" s="296"/>
      <c r="O53" s="296">
        <v>0</v>
      </c>
      <c r="P53" s="296">
        <v>0</v>
      </c>
      <c r="Q53" s="296">
        <v>0</v>
      </c>
      <c r="R53" s="296">
        <v>0</v>
      </c>
      <c r="S53" s="297">
        <f t="shared" si="19"/>
        <v>44791000</v>
      </c>
      <c r="T53" s="43">
        <f t="shared" si="9"/>
        <v>44791000</v>
      </c>
      <c r="U53" s="43">
        <f t="shared" si="10"/>
        <v>0</v>
      </c>
    </row>
    <row r="54" spans="1:21" s="154" customFormat="1" ht="39.75" customHeight="1">
      <c r="A54" s="153" t="s">
        <v>447</v>
      </c>
      <c r="B54" s="153">
        <v>3044</v>
      </c>
      <c r="C54" s="153">
        <v>1040</v>
      </c>
      <c r="D54" s="473" t="s">
        <v>262</v>
      </c>
      <c r="E54" s="473">
        <v>3044</v>
      </c>
      <c r="F54" s="473">
        <v>1040</v>
      </c>
      <c r="G54" s="474" t="s">
        <v>446</v>
      </c>
      <c r="H54" s="295">
        <f t="shared" si="20"/>
        <v>5332200</v>
      </c>
      <c r="I54" s="296">
        <v>5332200</v>
      </c>
      <c r="J54" s="296"/>
      <c r="K54" s="296">
        <v>0</v>
      </c>
      <c r="L54" s="296">
        <v>0</v>
      </c>
      <c r="M54" s="295">
        <f t="shared" si="18"/>
        <v>0</v>
      </c>
      <c r="N54" s="296"/>
      <c r="O54" s="296">
        <v>0</v>
      </c>
      <c r="P54" s="296">
        <v>0</v>
      </c>
      <c r="Q54" s="296">
        <v>0</v>
      </c>
      <c r="R54" s="296">
        <v>0</v>
      </c>
      <c r="S54" s="297">
        <f t="shared" si="19"/>
        <v>5332200</v>
      </c>
      <c r="T54" s="43">
        <f t="shared" si="9"/>
        <v>5332200</v>
      </c>
      <c r="U54" s="43">
        <f t="shared" si="10"/>
        <v>0</v>
      </c>
    </row>
    <row r="55" spans="1:21" s="154" customFormat="1" ht="33" customHeight="1">
      <c r="A55" s="153" t="s">
        <v>449</v>
      </c>
      <c r="B55" s="153">
        <v>3045</v>
      </c>
      <c r="C55" s="153">
        <v>1040</v>
      </c>
      <c r="D55" s="473" t="s">
        <v>263</v>
      </c>
      <c r="E55" s="473">
        <v>3045</v>
      </c>
      <c r="F55" s="473">
        <v>1040</v>
      </c>
      <c r="G55" s="474" t="s">
        <v>448</v>
      </c>
      <c r="H55" s="295">
        <f t="shared" si="20"/>
        <v>13394100</v>
      </c>
      <c r="I55" s="296">
        <v>13394100</v>
      </c>
      <c r="J55" s="296"/>
      <c r="K55" s="296">
        <v>0</v>
      </c>
      <c r="L55" s="296">
        <v>0</v>
      </c>
      <c r="M55" s="295">
        <f t="shared" si="18"/>
        <v>0</v>
      </c>
      <c r="N55" s="296"/>
      <c r="O55" s="296">
        <v>0</v>
      </c>
      <c r="P55" s="296">
        <v>0</v>
      </c>
      <c r="Q55" s="296">
        <v>0</v>
      </c>
      <c r="R55" s="296">
        <v>0</v>
      </c>
      <c r="S55" s="297">
        <f t="shared" si="19"/>
        <v>13394100</v>
      </c>
      <c r="T55" s="43">
        <f t="shared" si="9"/>
        <v>13394100</v>
      </c>
      <c r="U55" s="43">
        <f t="shared" si="10"/>
        <v>0</v>
      </c>
    </row>
    <row r="56" spans="1:21" s="154" customFormat="1" ht="32.25" customHeight="1">
      <c r="A56" s="153" t="s">
        <v>451</v>
      </c>
      <c r="B56" s="153">
        <v>3046</v>
      </c>
      <c r="C56" s="153">
        <v>1040</v>
      </c>
      <c r="D56" s="473" t="s">
        <v>264</v>
      </c>
      <c r="E56" s="473">
        <v>3046</v>
      </c>
      <c r="F56" s="473">
        <v>1040</v>
      </c>
      <c r="G56" s="474" t="s">
        <v>450</v>
      </c>
      <c r="H56" s="295">
        <f t="shared" si="20"/>
        <v>345500</v>
      </c>
      <c r="I56" s="296">
        <v>345500</v>
      </c>
      <c r="J56" s="296"/>
      <c r="K56" s="296">
        <v>0</v>
      </c>
      <c r="L56" s="296">
        <v>0</v>
      </c>
      <c r="M56" s="295">
        <f t="shared" si="18"/>
        <v>0</v>
      </c>
      <c r="N56" s="296"/>
      <c r="O56" s="296">
        <v>0</v>
      </c>
      <c r="P56" s="296">
        <v>0</v>
      </c>
      <c r="Q56" s="296">
        <v>0</v>
      </c>
      <c r="R56" s="296">
        <v>0</v>
      </c>
      <c r="S56" s="297">
        <f t="shared" si="19"/>
        <v>345500</v>
      </c>
      <c r="T56" s="43">
        <f t="shared" si="9"/>
        <v>345500</v>
      </c>
      <c r="U56" s="43">
        <f t="shared" si="10"/>
        <v>0</v>
      </c>
    </row>
    <row r="57" spans="1:21" s="154" customFormat="1" ht="42" customHeight="1">
      <c r="A57" s="153" t="s">
        <v>499</v>
      </c>
      <c r="B57" s="153">
        <v>3048</v>
      </c>
      <c r="C57" s="153">
        <v>1040</v>
      </c>
      <c r="D57" s="473" t="s">
        <v>265</v>
      </c>
      <c r="E57" s="473" t="s">
        <v>9</v>
      </c>
      <c r="F57" s="473">
        <v>1040</v>
      </c>
      <c r="G57" s="474" t="s">
        <v>498</v>
      </c>
      <c r="H57" s="295">
        <f t="shared" si="20"/>
        <v>11840500</v>
      </c>
      <c r="I57" s="296">
        <v>11840500</v>
      </c>
      <c r="J57" s="296"/>
      <c r="K57" s="296">
        <v>0</v>
      </c>
      <c r="L57" s="296">
        <v>0</v>
      </c>
      <c r="M57" s="295">
        <f t="shared" si="18"/>
        <v>0</v>
      </c>
      <c r="N57" s="296"/>
      <c r="O57" s="296">
        <v>0</v>
      </c>
      <c r="P57" s="296">
        <v>0</v>
      </c>
      <c r="Q57" s="296">
        <v>0</v>
      </c>
      <c r="R57" s="296">
        <v>0</v>
      </c>
      <c r="S57" s="297">
        <f t="shared" si="19"/>
        <v>11840500</v>
      </c>
      <c r="T57" s="43">
        <f t="shared" si="9"/>
        <v>11840500</v>
      </c>
      <c r="U57" s="43">
        <f t="shared" si="10"/>
        <v>0</v>
      </c>
    </row>
    <row r="58" spans="1:21" s="154" customFormat="1" ht="42" customHeight="1">
      <c r="A58" s="153"/>
      <c r="B58" s="153"/>
      <c r="C58" s="153"/>
      <c r="D58" s="473" t="s">
        <v>269</v>
      </c>
      <c r="E58" s="473" t="s">
        <v>270</v>
      </c>
      <c r="F58" s="473" t="s">
        <v>99</v>
      </c>
      <c r="G58" s="474" t="s">
        <v>488</v>
      </c>
      <c r="H58" s="295">
        <f t="shared" si="20"/>
        <v>157700</v>
      </c>
      <c r="I58" s="296">
        <v>157700</v>
      </c>
      <c r="J58" s="296"/>
      <c r="K58" s="296"/>
      <c r="L58" s="296"/>
      <c r="M58" s="295">
        <f t="shared" si="18"/>
        <v>0</v>
      </c>
      <c r="N58" s="296"/>
      <c r="O58" s="296"/>
      <c r="P58" s="296"/>
      <c r="Q58" s="296"/>
      <c r="R58" s="296"/>
      <c r="S58" s="297">
        <f t="shared" si="19"/>
        <v>157700</v>
      </c>
      <c r="T58" s="43">
        <f t="shared" si="9"/>
        <v>157700</v>
      </c>
      <c r="U58" s="43">
        <f t="shared" si="10"/>
        <v>0</v>
      </c>
    </row>
    <row r="59" spans="1:21" s="154" customFormat="1" ht="45.75" customHeight="1">
      <c r="A59" s="157"/>
      <c r="B59" s="157"/>
      <c r="C59" s="157"/>
      <c r="D59" s="473" t="s">
        <v>490</v>
      </c>
      <c r="E59" s="473" t="s">
        <v>489</v>
      </c>
      <c r="F59" s="473" t="s">
        <v>677</v>
      </c>
      <c r="G59" s="474" t="s">
        <v>741</v>
      </c>
      <c r="H59" s="295">
        <f t="shared" si="20"/>
        <v>23467300</v>
      </c>
      <c r="I59" s="296">
        <v>23467300</v>
      </c>
      <c r="J59" s="296"/>
      <c r="K59" s="296"/>
      <c r="L59" s="296"/>
      <c r="M59" s="295">
        <f t="shared" si="18"/>
        <v>0</v>
      </c>
      <c r="N59" s="296"/>
      <c r="O59" s="296"/>
      <c r="P59" s="296"/>
      <c r="Q59" s="296"/>
      <c r="R59" s="296"/>
      <c r="S59" s="297">
        <f t="shared" si="19"/>
        <v>23467300</v>
      </c>
      <c r="T59" s="43">
        <f t="shared" si="9"/>
        <v>23467300</v>
      </c>
      <c r="U59" s="43">
        <f t="shared" si="10"/>
        <v>0</v>
      </c>
    </row>
    <row r="60" spans="1:21" s="154" customFormat="1" ht="54" customHeight="1">
      <c r="A60" s="157"/>
      <c r="B60" s="157"/>
      <c r="C60" s="157"/>
      <c r="D60" s="473" t="s">
        <v>472</v>
      </c>
      <c r="E60" s="473" t="s">
        <v>473</v>
      </c>
      <c r="F60" s="473" t="s">
        <v>677</v>
      </c>
      <c r="G60" s="474" t="s">
        <v>359</v>
      </c>
      <c r="H60" s="295">
        <f t="shared" si="20"/>
        <v>4326500</v>
      </c>
      <c r="I60" s="296">
        <v>4326500</v>
      </c>
      <c r="J60" s="296"/>
      <c r="K60" s="296"/>
      <c r="L60" s="296"/>
      <c r="M60" s="295">
        <f t="shared" si="18"/>
        <v>0</v>
      </c>
      <c r="N60" s="296"/>
      <c r="O60" s="296"/>
      <c r="P60" s="296"/>
      <c r="Q60" s="296"/>
      <c r="R60" s="296"/>
      <c r="S60" s="297">
        <f t="shared" si="19"/>
        <v>4326500</v>
      </c>
      <c r="T60" s="43"/>
      <c r="U60" s="43"/>
    </row>
    <row r="61" spans="1:21" s="154" customFormat="1" ht="51.75" customHeight="1">
      <c r="A61" s="157"/>
      <c r="B61" s="157"/>
      <c r="C61" s="157"/>
      <c r="D61" s="473" t="s">
        <v>491</v>
      </c>
      <c r="E61" s="473" t="s">
        <v>492</v>
      </c>
      <c r="F61" s="473" t="s">
        <v>677</v>
      </c>
      <c r="G61" s="474" t="s">
        <v>295</v>
      </c>
      <c r="H61" s="295">
        <f t="shared" si="20"/>
        <v>1842000</v>
      </c>
      <c r="I61" s="296">
        <v>1842000</v>
      </c>
      <c r="J61" s="296"/>
      <c r="K61" s="296"/>
      <c r="L61" s="296"/>
      <c r="M61" s="295">
        <f t="shared" si="18"/>
        <v>0</v>
      </c>
      <c r="N61" s="296"/>
      <c r="O61" s="296"/>
      <c r="P61" s="296"/>
      <c r="Q61" s="296"/>
      <c r="R61" s="296"/>
      <c r="S61" s="297">
        <f t="shared" si="19"/>
        <v>1842000</v>
      </c>
      <c r="T61" s="43">
        <f t="shared" si="9"/>
        <v>1842000</v>
      </c>
      <c r="U61" s="43">
        <f t="shared" si="10"/>
        <v>0</v>
      </c>
    </row>
    <row r="62" spans="1:21" s="154" customFormat="1" ht="51.75" customHeight="1">
      <c r="A62" s="157"/>
      <c r="B62" s="157"/>
      <c r="C62" s="157"/>
      <c r="D62" s="473" t="s">
        <v>722</v>
      </c>
      <c r="E62" s="473" t="s">
        <v>723</v>
      </c>
      <c r="F62" s="473" t="s">
        <v>677</v>
      </c>
      <c r="G62" s="474" t="s">
        <v>724</v>
      </c>
      <c r="H62" s="295">
        <f t="shared" si="20"/>
        <v>108600</v>
      </c>
      <c r="I62" s="296">
        <v>108600</v>
      </c>
      <c r="J62" s="296"/>
      <c r="K62" s="296"/>
      <c r="L62" s="296"/>
      <c r="M62" s="295">
        <f t="shared" si="18"/>
        <v>0</v>
      </c>
      <c r="N62" s="296"/>
      <c r="O62" s="296"/>
      <c r="P62" s="296"/>
      <c r="Q62" s="296"/>
      <c r="R62" s="296"/>
      <c r="S62" s="297">
        <f t="shared" si="19"/>
        <v>108600</v>
      </c>
      <c r="T62" s="43">
        <f t="shared" si="9"/>
        <v>108600</v>
      </c>
      <c r="U62" s="43"/>
    </row>
    <row r="63" spans="1:21" s="154" customFormat="1" ht="78.75" customHeight="1">
      <c r="A63" s="157"/>
      <c r="B63" s="157"/>
      <c r="C63" s="157"/>
      <c r="D63" s="473" t="s">
        <v>360</v>
      </c>
      <c r="E63" s="473" t="s">
        <v>361</v>
      </c>
      <c r="F63" s="473" t="s">
        <v>677</v>
      </c>
      <c r="G63" s="474" t="s">
        <v>362</v>
      </c>
      <c r="H63" s="295">
        <f t="shared" si="20"/>
        <v>40100</v>
      </c>
      <c r="I63" s="296">
        <v>40100</v>
      </c>
      <c r="J63" s="296"/>
      <c r="K63" s="296"/>
      <c r="L63" s="296"/>
      <c r="M63" s="295">
        <f t="shared" si="18"/>
        <v>0</v>
      </c>
      <c r="N63" s="296"/>
      <c r="O63" s="296"/>
      <c r="P63" s="296"/>
      <c r="Q63" s="296"/>
      <c r="R63" s="296"/>
      <c r="S63" s="297">
        <f t="shared" si="19"/>
        <v>40100</v>
      </c>
      <c r="T63" s="43">
        <f t="shared" si="9"/>
        <v>40100</v>
      </c>
      <c r="U63" s="43"/>
    </row>
    <row r="64" spans="1:21" s="154" customFormat="1" ht="75" customHeight="1">
      <c r="A64" s="153" t="s">
        <v>427</v>
      </c>
      <c r="B64" s="153" t="s">
        <v>218</v>
      </c>
      <c r="C64" s="153" t="s">
        <v>219</v>
      </c>
      <c r="D64" s="473" t="s">
        <v>266</v>
      </c>
      <c r="E64" s="473" t="s">
        <v>218</v>
      </c>
      <c r="F64" s="473" t="s">
        <v>219</v>
      </c>
      <c r="G64" s="474" t="s">
        <v>217</v>
      </c>
      <c r="H64" s="297">
        <f>L64+I64</f>
        <v>6633204</v>
      </c>
      <c r="I64" s="475">
        <f>6583204+50000</f>
        <v>6633204</v>
      </c>
      <c r="J64" s="296">
        <v>5283052</v>
      </c>
      <c r="K64" s="296">
        <v>79171</v>
      </c>
      <c r="L64" s="296"/>
      <c r="M64" s="295">
        <f t="shared" si="18"/>
        <v>91639</v>
      </c>
      <c r="N64" s="296"/>
      <c r="O64" s="296">
        <v>91639</v>
      </c>
      <c r="P64" s="296">
        <v>75114</v>
      </c>
      <c r="Q64" s="296"/>
      <c r="R64" s="296"/>
      <c r="S64" s="297">
        <f t="shared" si="19"/>
        <v>6724843</v>
      </c>
      <c r="T64" s="43">
        <f t="shared" si="9"/>
        <v>6724843</v>
      </c>
      <c r="U64" s="43">
        <f t="shared" si="10"/>
        <v>0</v>
      </c>
    </row>
    <row r="65" spans="1:21" s="154" customFormat="1" ht="30" customHeight="1">
      <c r="A65" s="153"/>
      <c r="B65" s="153"/>
      <c r="C65" s="153"/>
      <c r="D65" s="473" t="s">
        <v>204</v>
      </c>
      <c r="E65" s="476">
        <v>3123</v>
      </c>
      <c r="F65" s="473" t="s">
        <v>73</v>
      </c>
      <c r="G65" s="538" t="s">
        <v>314</v>
      </c>
      <c r="H65" s="297">
        <f>L65+I65</f>
        <v>28000</v>
      </c>
      <c r="I65" s="475">
        <v>28000</v>
      </c>
      <c r="J65" s="295"/>
      <c r="K65" s="295"/>
      <c r="L65" s="295"/>
      <c r="M65" s="295">
        <f>O65+R65</f>
        <v>0</v>
      </c>
      <c r="N65" s="296"/>
      <c r="O65" s="295"/>
      <c r="P65" s="295"/>
      <c r="Q65" s="295"/>
      <c r="R65" s="295"/>
      <c r="S65" s="297">
        <f>H65+M65</f>
        <v>28000</v>
      </c>
      <c r="T65" s="43">
        <f t="shared" si="9"/>
        <v>28000</v>
      </c>
      <c r="U65" s="43"/>
    </row>
    <row r="66" spans="1:21" s="154" customFormat="1" ht="75" customHeight="1">
      <c r="A66" s="153"/>
      <c r="B66" s="153"/>
      <c r="C66" s="153"/>
      <c r="D66" s="473" t="s">
        <v>205</v>
      </c>
      <c r="E66" s="479">
        <v>3140</v>
      </c>
      <c r="F66" s="479">
        <v>1040</v>
      </c>
      <c r="G66" s="474" t="s">
        <v>71</v>
      </c>
      <c r="H66" s="297">
        <f>L66+I66</f>
        <v>199000</v>
      </c>
      <c r="I66" s="475">
        <v>199000</v>
      </c>
      <c r="J66" s="295"/>
      <c r="K66" s="295"/>
      <c r="L66" s="296"/>
      <c r="M66" s="295">
        <f>O66+R66</f>
        <v>0</v>
      </c>
      <c r="N66" s="296"/>
      <c r="O66" s="296"/>
      <c r="P66" s="296"/>
      <c r="Q66" s="296"/>
      <c r="R66" s="296"/>
      <c r="S66" s="297">
        <f>H66+M66</f>
        <v>199000</v>
      </c>
      <c r="T66" s="43">
        <f t="shared" si="9"/>
        <v>199000</v>
      </c>
      <c r="U66" s="43"/>
    </row>
    <row r="67" spans="1:21" s="154" customFormat="1" ht="88.5" customHeight="1">
      <c r="A67" s="157" t="s">
        <v>67</v>
      </c>
      <c r="B67" s="157" t="s">
        <v>519</v>
      </c>
      <c r="C67" s="153"/>
      <c r="D67" s="473" t="s">
        <v>267</v>
      </c>
      <c r="E67" s="473" t="s">
        <v>72</v>
      </c>
      <c r="F67" s="473" t="s">
        <v>677</v>
      </c>
      <c r="G67" s="474" t="s">
        <v>839</v>
      </c>
      <c r="H67" s="297">
        <f>I67+L67</f>
        <v>329830</v>
      </c>
      <c r="I67" s="475">
        <f>329820+10</f>
        <v>329830</v>
      </c>
      <c r="J67" s="296"/>
      <c r="K67" s="296"/>
      <c r="L67" s="296"/>
      <c r="M67" s="295">
        <f t="shared" si="18"/>
        <v>0</v>
      </c>
      <c r="N67" s="296"/>
      <c r="O67" s="296"/>
      <c r="P67" s="296"/>
      <c r="Q67" s="296"/>
      <c r="R67" s="296"/>
      <c r="S67" s="297">
        <f t="shared" si="19"/>
        <v>329830</v>
      </c>
      <c r="T67" s="43">
        <f t="shared" si="9"/>
        <v>329830</v>
      </c>
      <c r="U67" s="43">
        <f t="shared" si="10"/>
        <v>0</v>
      </c>
    </row>
    <row r="68" spans="1:21" s="154" customFormat="1" ht="58.5" customHeight="1">
      <c r="A68" s="153" t="s">
        <v>409</v>
      </c>
      <c r="B68" s="153">
        <v>3202</v>
      </c>
      <c r="C68" s="153">
        <v>1030</v>
      </c>
      <c r="D68" s="473" t="s">
        <v>765</v>
      </c>
      <c r="E68" s="473" t="s">
        <v>287</v>
      </c>
      <c r="F68" s="473">
        <v>1030</v>
      </c>
      <c r="G68" s="474" t="s">
        <v>726</v>
      </c>
      <c r="H68" s="295">
        <f>L68+I68</f>
        <v>7129</v>
      </c>
      <c r="I68" s="296">
        <v>7129</v>
      </c>
      <c r="J68" s="296"/>
      <c r="K68" s="296"/>
      <c r="L68" s="296"/>
      <c r="M68" s="295">
        <f t="shared" si="18"/>
        <v>0</v>
      </c>
      <c r="N68" s="296"/>
      <c r="O68" s="296"/>
      <c r="P68" s="296">
        <v>0</v>
      </c>
      <c r="Q68" s="296">
        <v>0</v>
      </c>
      <c r="R68" s="296">
        <v>0</v>
      </c>
      <c r="S68" s="297">
        <f t="shared" si="19"/>
        <v>7129</v>
      </c>
      <c r="T68" s="43">
        <f t="shared" si="9"/>
        <v>7129</v>
      </c>
      <c r="U68" s="43">
        <f t="shared" si="10"/>
        <v>0</v>
      </c>
    </row>
    <row r="69" spans="1:21" s="154" customFormat="1" ht="33" customHeight="1" hidden="1">
      <c r="A69" s="153"/>
      <c r="B69" s="153"/>
      <c r="C69" s="153"/>
      <c r="D69" s="473" t="s">
        <v>207</v>
      </c>
      <c r="E69" s="473" t="s">
        <v>208</v>
      </c>
      <c r="F69" s="473" t="s">
        <v>129</v>
      </c>
      <c r="G69" s="474" t="s">
        <v>841</v>
      </c>
      <c r="H69" s="295">
        <f>L69+I69</f>
        <v>0</v>
      </c>
      <c r="I69" s="296">
        <f>582814.18-582814.18</f>
        <v>0</v>
      </c>
      <c r="J69" s="296"/>
      <c r="K69" s="296"/>
      <c r="L69" s="296"/>
      <c r="M69" s="295">
        <f t="shared" si="18"/>
        <v>0</v>
      </c>
      <c r="N69" s="296"/>
      <c r="O69" s="296"/>
      <c r="P69" s="296"/>
      <c r="Q69" s="296"/>
      <c r="R69" s="296"/>
      <c r="S69" s="297">
        <f t="shared" si="19"/>
        <v>0</v>
      </c>
      <c r="T69" s="43"/>
      <c r="U69" s="43"/>
    </row>
    <row r="70" spans="1:21" s="154" customFormat="1" ht="172.5" customHeight="1">
      <c r="A70" s="157" t="s">
        <v>679</v>
      </c>
      <c r="B70" s="157">
        <v>1060</v>
      </c>
      <c r="C70" s="157" t="s">
        <v>678</v>
      </c>
      <c r="D70" s="473" t="s">
        <v>296</v>
      </c>
      <c r="E70" s="473" t="s">
        <v>344</v>
      </c>
      <c r="F70" s="473" t="s">
        <v>73</v>
      </c>
      <c r="G70" s="474" t="s">
        <v>307</v>
      </c>
      <c r="H70" s="295">
        <f>L70+I70</f>
        <v>3679700</v>
      </c>
      <c r="I70" s="296">
        <v>3679700</v>
      </c>
      <c r="J70" s="296"/>
      <c r="K70" s="296"/>
      <c r="L70" s="296"/>
      <c r="M70" s="295">
        <f t="shared" si="18"/>
        <v>0</v>
      </c>
      <c r="N70" s="296"/>
      <c r="O70" s="296"/>
      <c r="P70" s="296"/>
      <c r="Q70" s="296"/>
      <c r="R70" s="296"/>
      <c r="S70" s="297">
        <f t="shared" si="19"/>
        <v>3679700</v>
      </c>
      <c r="T70" s="43">
        <f t="shared" si="9"/>
        <v>3679700</v>
      </c>
      <c r="U70" s="43">
        <f t="shared" si="10"/>
        <v>0</v>
      </c>
    </row>
    <row r="71" spans="1:21" s="25" customFormat="1" ht="40.5" customHeight="1">
      <c r="A71" s="264"/>
      <c r="B71" s="265"/>
      <c r="C71" s="265"/>
      <c r="D71" s="292" t="s">
        <v>746</v>
      </c>
      <c r="E71" s="299"/>
      <c r="F71" s="299"/>
      <c r="G71" s="305" t="s">
        <v>747</v>
      </c>
      <c r="H71" s="294">
        <f>H72</f>
        <v>10000</v>
      </c>
      <c r="I71" s="294">
        <f aca="true" t="shared" si="21" ref="I71:S71">I72</f>
        <v>10000</v>
      </c>
      <c r="J71" s="294">
        <f t="shared" si="21"/>
        <v>0</v>
      </c>
      <c r="K71" s="294">
        <f t="shared" si="21"/>
        <v>0</v>
      </c>
      <c r="L71" s="294">
        <f t="shared" si="21"/>
        <v>0</v>
      </c>
      <c r="M71" s="294">
        <f t="shared" si="21"/>
        <v>0</v>
      </c>
      <c r="N71" s="294">
        <f t="shared" si="21"/>
        <v>0</v>
      </c>
      <c r="O71" s="294">
        <f t="shared" si="21"/>
        <v>0</v>
      </c>
      <c r="P71" s="294">
        <f t="shared" si="21"/>
        <v>0</v>
      </c>
      <c r="Q71" s="294">
        <f t="shared" si="21"/>
        <v>0</v>
      </c>
      <c r="R71" s="294">
        <f t="shared" si="21"/>
        <v>0</v>
      </c>
      <c r="S71" s="294">
        <f t="shared" si="21"/>
        <v>10000</v>
      </c>
      <c r="T71" s="43">
        <f t="shared" si="9"/>
        <v>10000</v>
      </c>
      <c r="U71" s="43">
        <f t="shared" si="10"/>
        <v>0</v>
      </c>
    </row>
    <row r="72" spans="1:21" s="25" customFormat="1" ht="36" customHeight="1">
      <c r="A72" s="264"/>
      <c r="B72" s="265"/>
      <c r="C72" s="265"/>
      <c r="D72" s="292" t="s">
        <v>748</v>
      </c>
      <c r="E72" s="299"/>
      <c r="F72" s="299"/>
      <c r="G72" s="305" t="s">
        <v>747</v>
      </c>
      <c r="H72" s="294">
        <f>SUM(H73)</f>
        <v>10000</v>
      </c>
      <c r="I72" s="294">
        <f aca="true" t="shared" si="22" ref="I72:S72">SUM(I73)</f>
        <v>10000</v>
      </c>
      <c r="J72" s="294">
        <f t="shared" si="22"/>
        <v>0</v>
      </c>
      <c r="K72" s="294">
        <f t="shared" si="22"/>
        <v>0</v>
      </c>
      <c r="L72" s="294">
        <f t="shared" si="22"/>
        <v>0</v>
      </c>
      <c r="M72" s="294">
        <f t="shared" si="22"/>
        <v>0</v>
      </c>
      <c r="N72" s="294">
        <f t="shared" si="22"/>
        <v>0</v>
      </c>
      <c r="O72" s="294">
        <f t="shared" si="22"/>
        <v>0</v>
      </c>
      <c r="P72" s="294">
        <f t="shared" si="22"/>
        <v>0</v>
      </c>
      <c r="Q72" s="294">
        <f t="shared" si="22"/>
        <v>0</v>
      </c>
      <c r="R72" s="294">
        <f t="shared" si="22"/>
        <v>0</v>
      </c>
      <c r="S72" s="294">
        <f t="shared" si="22"/>
        <v>10000</v>
      </c>
      <c r="T72" s="43">
        <f t="shared" si="9"/>
        <v>10000</v>
      </c>
      <c r="U72" s="43">
        <f t="shared" si="10"/>
        <v>0</v>
      </c>
    </row>
    <row r="73" spans="1:21" s="25" customFormat="1" ht="40.5" customHeight="1">
      <c r="A73" s="151" t="s">
        <v>109</v>
      </c>
      <c r="B73" s="151" t="s">
        <v>110</v>
      </c>
      <c r="C73" s="151" t="s">
        <v>73</v>
      </c>
      <c r="D73" s="471" t="s">
        <v>749</v>
      </c>
      <c r="E73" s="471" t="s">
        <v>110</v>
      </c>
      <c r="F73" s="471" t="s">
        <v>73</v>
      </c>
      <c r="G73" s="483" t="s">
        <v>111</v>
      </c>
      <c r="H73" s="295">
        <f>L73+I73</f>
        <v>10000</v>
      </c>
      <c r="I73" s="296">
        <v>10000</v>
      </c>
      <c r="J73" s="296"/>
      <c r="K73" s="296"/>
      <c r="L73" s="296"/>
      <c r="M73" s="295">
        <f>O73+R73</f>
        <v>0</v>
      </c>
      <c r="N73" s="296"/>
      <c r="O73" s="295"/>
      <c r="P73" s="295"/>
      <c r="Q73" s="295"/>
      <c r="R73" s="295"/>
      <c r="S73" s="297">
        <f>H73+M73</f>
        <v>10000</v>
      </c>
      <c r="T73" s="43">
        <f t="shared" si="9"/>
        <v>10000</v>
      </c>
      <c r="U73" s="43">
        <f t="shared" si="10"/>
        <v>0</v>
      </c>
    </row>
    <row r="74" spans="1:21" s="158" customFormat="1" ht="42" customHeight="1">
      <c r="A74" s="155">
        <v>2400000</v>
      </c>
      <c r="B74" s="157"/>
      <c r="C74" s="157"/>
      <c r="D74" s="292" t="s">
        <v>782</v>
      </c>
      <c r="E74" s="292"/>
      <c r="F74" s="292"/>
      <c r="G74" s="293" t="s">
        <v>252</v>
      </c>
      <c r="H74" s="294">
        <f>H75</f>
        <v>10330506</v>
      </c>
      <c r="I74" s="294">
        <f aca="true" t="shared" si="23" ref="I74:S74">I75</f>
        <v>10330506</v>
      </c>
      <c r="J74" s="294">
        <f t="shared" si="23"/>
        <v>7475476</v>
      </c>
      <c r="K74" s="294">
        <f t="shared" si="23"/>
        <v>653168</v>
      </c>
      <c r="L74" s="294">
        <f t="shared" si="23"/>
        <v>0</v>
      </c>
      <c r="M74" s="294">
        <f t="shared" si="23"/>
        <v>179447</v>
      </c>
      <c r="N74" s="294">
        <f t="shared" si="23"/>
        <v>0</v>
      </c>
      <c r="O74" s="294">
        <f t="shared" si="23"/>
        <v>179447</v>
      </c>
      <c r="P74" s="294">
        <f t="shared" si="23"/>
        <v>135613</v>
      </c>
      <c r="Q74" s="294">
        <f t="shared" si="23"/>
        <v>5500</v>
      </c>
      <c r="R74" s="294">
        <f t="shared" si="23"/>
        <v>0</v>
      </c>
      <c r="S74" s="294">
        <f t="shared" si="23"/>
        <v>10509953</v>
      </c>
      <c r="T74" s="43">
        <f t="shared" si="9"/>
        <v>10509953</v>
      </c>
      <c r="U74" s="43">
        <f t="shared" si="10"/>
        <v>0</v>
      </c>
    </row>
    <row r="75" spans="1:21" s="156" customFormat="1" ht="33.75" customHeight="1">
      <c r="A75" s="155" t="s">
        <v>410</v>
      </c>
      <c r="B75" s="155"/>
      <c r="C75" s="155"/>
      <c r="D75" s="292" t="s">
        <v>215</v>
      </c>
      <c r="E75" s="292"/>
      <c r="F75" s="292"/>
      <c r="G75" s="293" t="s">
        <v>252</v>
      </c>
      <c r="H75" s="294">
        <f>SUM(H76:H81)</f>
        <v>10330506</v>
      </c>
      <c r="I75" s="294">
        <f aca="true" t="shared" si="24" ref="I75:S75">SUM(I76:I81)</f>
        <v>10330506</v>
      </c>
      <c r="J75" s="294">
        <f t="shared" si="24"/>
        <v>7475476</v>
      </c>
      <c r="K75" s="294">
        <f t="shared" si="24"/>
        <v>653168</v>
      </c>
      <c r="L75" s="294">
        <f t="shared" si="24"/>
        <v>0</v>
      </c>
      <c r="M75" s="294">
        <f t="shared" si="24"/>
        <v>179447</v>
      </c>
      <c r="N75" s="294">
        <f t="shared" si="24"/>
        <v>0</v>
      </c>
      <c r="O75" s="294">
        <f t="shared" si="24"/>
        <v>179447</v>
      </c>
      <c r="P75" s="294">
        <f t="shared" si="24"/>
        <v>135613</v>
      </c>
      <c r="Q75" s="294">
        <f t="shared" si="24"/>
        <v>5500</v>
      </c>
      <c r="R75" s="294">
        <f t="shared" si="24"/>
        <v>0</v>
      </c>
      <c r="S75" s="294">
        <f t="shared" si="24"/>
        <v>10509953</v>
      </c>
      <c r="T75" s="43">
        <f t="shared" si="9"/>
        <v>10509953</v>
      </c>
      <c r="U75" s="43">
        <f t="shared" si="10"/>
        <v>0</v>
      </c>
    </row>
    <row r="76" spans="1:21" s="25" customFormat="1" ht="60" customHeight="1">
      <c r="A76" s="157" t="s">
        <v>417</v>
      </c>
      <c r="B76" s="157">
        <v>4100</v>
      </c>
      <c r="C76" s="157" t="s">
        <v>211</v>
      </c>
      <c r="D76" s="476">
        <v>1011100</v>
      </c>
      <c r="E76" s="473" t="s">
        <v>407</v>
      </c>
      <c r="F76" s="473" t="s">
        <v>211</v>
      </c>
      <c r="G76" s="477" t="s">
        <v>750</v>
      </c>
      <c r="H76" s="295">
        <f aca="true" t="shared" si="25" ref="H76:H81">L76+I76</f>
        <v>5999045</v>
      </c>
      <c r="I76" s="475">
        <v>5999045</v>
      </c>
      <c r="J76" s="296">
        <v>4633152</v>
      </c>
      <c r="K76" s="296">
        <f>248833+1900</f>
        <v>250733</v>
      </c>
      <c r="L76" s="296"/>
      <c r="M76" s="295">
        <f aca="true" t="shared" si="26" ref="M76:M81">O76+R76</f>
        <v>165447</v>
      </c>
      <c r="N76" s="296"/>
      <c r="O76" s="296">
        <v>165447</v>
      </c>
      <c r="P76" s="296">
        <v>135613</v>
      </c>
      <c r="Q76" s="296"/>
      <c r="R76" s="296"/>
      <c r="S76" s="297">
        <f aca="true" t="shared" si="27" ref="S76:S81">H76+M76</f>
        <v>6164492</v>
      </c>
      <c r="T76" s="43">
        <f t="shared" si="9"/>
        <v>6164492</v>
      </c>
      <c r="U76" s="43">
        <f t="shared" si="10"/>
        <v>0</v>
      </c>
    </row>
    <row r="77" spans="1:21" s="158" customFormat="1" ht="28.5" customHeight="1">
      <c r="A77" s="157" t="s">
        <v>412</v>
      </c>
      <c r="B77" s="157">
        <v>4060</v>
      </c>
      <c r="C77" s="157" t="s">
        <v>411</v>
      </c>
      <c r="D77" s="473" t="s">
        <v>751</v>
      </c>
      <c r="E77" s="473" t="s">
        <v>752</v>
      </c>
      <c r="F77" s="473" t="s">
        <v>411</v>
      </c>
      <c r="G77" s="474" t="s">
        <v>753</v>
      </c>
      <c r="H77" s="295">
        <f t="shared" si="25"/>
        <v>1395184</v>
      </c>
      <c r="I77" s="296">
        <v>1395184</v>
      </c>
      <c r="J77" s="296">
        <v>1019158</v>
      </c>
      <c r="K77" s="296">
        <f>133321+1400</f>
        <v>134721</v>
      </c>
      <c r="L77" s="296"/>
      <c r="M77" s="295">
        <f t="shared" si="26"/>
        <v>0</v>
      </c>
      <c r="N77" s="296"/>
      <c r="O77" s="296"/>
      <c r="P77" s="296"/>
      <c r="Q77" s="296"/>
      <c r="R77" s="296"/>
      <c r="S77" s="297">
        <f t="shared" si="27"/>
        <v>1395184</v>
      </c>
      <c r="T77" s="43">
        <f t="shared" si="9"/>
        <v>1395184</v>
      </c>
      <c r="U77" s="43">
        <f t="shared" si="10"/>
        <v>0</v>
      </c>
    </row>
    <row r="78" spans="1:21" s="158" customFormat="1" ht="26.25" customHeight="1">
      <c r="A78" s="157" t="s">
        <v>414</v>
      </c>
      <c r="B78" s="157" t="s">
        <v>413</v>
      </c>
      <c r="C78" s="157" t="s">
        <v>411</v>
      </c>
      <c r="D78" s="473" t="s">
        <v>157</v>
      </c>
      <c r="E78" s="473" t="s">
        <v>156</v>
      </c>
      <c r="F78" s="473" t="s">
        <v>411</v>
      </c>
      <c r="G78" s="482" t="s">
        <v>754</v>
      </c>
      <c r="H78" s="295">
        <f t="shared" si="25"/>
        <v>36419</v>
      </c>
      <c r="I78" s="296">
        <v>36419</v>
      </c>
      <c r="J78" s="296">
        <v>26792</v>
      </c>
      <c r="K78" s="296">
        <v>3732</v>
      </c>
      <c r="L78" s="296"/>
      <c r="M78" s="295">
        <f t="shared" si="26"/>
        <v>0</v>
      </c>
      <c r="N78" s="296"/>
      <c r="O78" s="296"/>
      <c r="P78" s="296"/>
      <c r="Q78" s="296"/>
      <c r="R78" s="296"/>
      <c r="S78" s="297">
        <f t="shared" si="27"/>
        <v>36419</v>
      </c>
      <c r="T78" s="43">
        <f t="shared" si="9"/>
        <v>36419</v>
      </c>
      <c r="U78" s="43">
        <f t="shared" si="10"/>
        <v>0</v>
      </c>
    </row>
    <row r="79" spans="1:21" s="158" customFormat="1" ht="42.75" customHeight="1">
      <c r="A79" s="157" t="s">
        <v>416</v>
      </c>
      <c r="B79" s="157">
        <v>4090</v>
      </c>
      <c r="C79" s="157" t="s">
        <v>415</v>
      </c>
      <c r="D79" s="473" t="s">
        <v>391</v>
      </c>
      <c r="E79" s="473" t="s">
        <v>158</v>
      </c>
      <c r="F79" s="473" t="s">
        <v>415</v>
      </c>
      <c r="G79" s="474" t="s">
        <v>755</v>
      </c>
      <c r="H79" s="295">
        <f t="shared" si="25"/>
        <v>1788494</v>
      </c>
      <c r="I79" s="296">
        <v>1788494</v>
      </c>
      <c r="J79" s="296">
        <v>1195666</v>
      </c>
      <c r="K79" s="296">
        <v>225207</v>
      </c>
      <c r="L79" s="296"/>
      <c r="M79" s="295">
        <f t="shared" si="26"/>
        <v>14000</v>
      </c>
      <c r="N79" s="296"/>
      <c r="O79" s="296">
        <v>14000</v>
      </c>
      <c r="P79" s="296"/>
      <c r="Q79" s="296">
        <v>5500</v>
      </c>
      <c r="R79" s="296"/>
      <c r="S79" s="297">
        <f t="shared" si="27"/>
        <v>1802494</v>
      </c>
      <c r="T79" s="43">
        <f t="shared" si="9"/>
        <v>1802494</v>
      </c>
      <c r="U79" s="43">
        <f t="shared" si="10"/>
        <v>0</v>
      </c>
    </row>
    <row r="80" spans="1:21" s="158" customFormat="1" ht="45" customHeight="1">
      <c r="A80" s="157"/>
      <c r="B80" s="157"/>
      <c r="C80" s="157"/>
      <c r="D80" s="473" t="s">
        <v>308</v>
      </c>
      <c r="E80" s="473" t="s">
        <v>309</v>
      </c>
      <c r="F80" s="473" t="s">
        <v>418</v>
      </c>
      <c r="G80" s="474" t="s">
        <v>312</v>
      </c>
      <c r="H80" s="295">
        <f t="shared" si="25"/>
        <v>969751</v>
      </c>
      <c r="I80" s="296">
        <f>914751+55000</f>
        <v>969751</v>
      </c>
      <c r="J80" s="296">
        <v>600708</v>
      </c>
      <c r="K80" s="296">
        <v>38775</v>
      </c>
      <c r="L80" s="296"/>
      <c r="M80" s="295">
        <f t="shared" si="26"/>
        <v>0</v>
      </c>
      <c r="N80" s="296"/>
      <c r="O80" s="296"/>
      <c r="P80" s="296"/>
      <c r="Q80" s="296"/>
      <c r="R80" s="296"/>
      <c r="S80" s="297">
        <f t="shared" si="27"/>
        <v>969751</v>
      </c>
      <c r="T80" s="43">
        <f t="shared" si="9"/>
        <v>969751</v>
      </c>
      <c r="U80" s="43">
        <f t="shared" si="10"/>
        <v>0</v>
      </c>
    </row>
    <row r="81" spans="1:21" s="158" customFormat="1" ht="28.5" customHeight="1">
      <c r="A81" s="157"/>
      <c r="B81" s="157"/>
      <c r="C81" s="157"/>
      <c r="D81" s="473" t="s">
        <v>310</v>
      </c>
      <c r="E81" s="473" t="s">
        <v>311</v>
      </c>
      <c r="F81" s="473" t="s">
        <v>418</v>
      </c>
      <c r="G81" s="474" t="s">
        <v>313</v>
      </c>
      <c r="H81" s="295">
        <f t="shared" si="25"/>
        <v>141613</v>
      </c>
      <c r="I81" s="296">
        <f>136613+5000</f>
        <v>141613</v>
      </c>
      <c r="J81" s="296"/>
      <c r="K81" s="296"/>
      <c r="L81" s="296"/>
      <c r="M81" s="295">
        <f t="shared" si="26"/>
        <v>0</v>
      </c>
      <c r="N81" s="296"/>
      <c r="O81" s="296"/>
      <c r="P81" s="296"/>
      <c r="Q81" s="296"/>
      <c r="R81" s="296"/>
      <c r="S81" s="297">
        <f t="shared" si="27"/>
        <v>141613</v>
      </c>
      <c r="T81" s="43">
        <f aca="true" t="shared" si="28" ref="T81:T108">H81+M81</f>
        <v>141613</v>
      </c>
      <c r="U81" s="43">
        <f aca="true" t="shared" si="29" ref="U81:U108">T81-S81</f>
        <v>0</v>
      </c>
    </row>
    <row r="82" spans="1:21" s="26" customFormat="1" ht="47.25" customHeight="1" hidden="1">
      <c r="A82" s="151" t="s">
        <v>76</v>
      </c>
      <c r="B82" s="151">
        <v>5011</v>
      </c>
      <c r="C82" s="151" t="s">
        <v>75</v>
      </c>
      <c r="D82" s="479">
        <v>1115011</v>
      </c>
      <c r="E82" s="479">
        <v>5011</v>
      </c>
      <c r="F82" s="473" t="s">
        <v>75</v>
      </c>
      <c r="G82" s="474" t="s">
        <v>74</v>
      </c>
      <c r="H82" s="295">
        <f>L82+I82</f>
        <v>0</v>
      </c>
      <c r="I82" s="296"/>
      <c r="J82" s="295"/>
      <c r="K82" s="295"/>
      <c r="L82" s="296"/>
      <c r="M82" s="295">
        <f>O82+R82</f>
        <v>0</v>
      </c>
      <c r="N82" s="295"/>
      <c r="O82" s="296"/>
      <c r="P82" s="296"/>
      <c r="Q82" s="296"/>
      <c r="R82" s="296"/>
      <c r="S82" s="297">
        <f>H82+M82</f>
        <v>0</v>
      </c>
      <c r="T82" s="43">
        <f t="shared" si="28"/>
        <v>0</v>
      </c>
      <c r="U82" s="43">
        <f t="shared" si="29"/>
        <v>0</v>
      </c>
    </row>
    <row r="83" spans="1:21" s="25" customFormat="1" ht="54.75" customHeight="1">
      <c r="A83" s="165">
        <v>4000000</v>
      </c>
      <c r="B83" s="72"/>
      <c r="C83" s="72"/>
      <c r="D83" s="300">
        <v>1200000</v>
      </c>
      <c r="E83" s="299"/>
      <c r="F83" s="299"/>
      <c r="G83" s="293" t="s">
        <v>493</v>
      </c>
      <c r="H83" s="294">
        <f>H84</f>
        <v>130000</v>
      </c>
      <c r="I83" s="294">
        <f aca="true" t="shared" si="30" ref="I83:S83">I84</f>
        <v>80000</v>
      </c>
      <c r="J83" s="294">
        <f t="shared" si="30"/>
        <v>0</v>
      </c>
      <c r="K83" s="294">
        <f t="shared" si="30"/>
        <v>0</v>
      </c>
      <c r="L83" s="294">
        <f t="shared" si="30"/>
        <v>50000</v>
      </c>
      <c r="M83" s="294">
        <f t="shared" si="30"/>
        <v>20000</v>
      </c>
      <c r="N83" s="294">
        <f t="shared" si="30"/>
        <v>0</v>
      </c>
      <c r="O83" s="294">
        <f t="shared" si="30"/>
        <v>20000</v>
      </c>
      <c r="P83" s="294">
        <f t="shared" si="30"/>
        <v>0</v>
      </c>
      <c r="Q83" s="294">
        <f t="shared" si="30"/>
        <v>0</v>
      </c>
      <c r="R83" s="294">
        <f t="shared" si="30"/>
        <v>0</v>
      </c>
      <c r="S83" s="294">
        <f t="shared" si="30"/>
        <v>150000</v>
      </c>
      <c r="T83" s="43">
        <f t="shared" si="28"/>
        <v>150000</v>
      </c>
      <c r="U83" s="43">
        <f t="shared" si="29"/>
        <v>0</v>
      </c>
    </row>
    <row r="84" spans="1:21" s="25" customFormat="1" ht="55.5" customHeight="1">
      <c r="A84" s="165">
        <v>4010000</v>
      </c>
      <c r="B84" s="72"/>
      <c r="C84" s="72"/>
      <c r="D84" s="301">
        <v>1210000</v>
      </c>
      <c r="E84" s="301"/>
      <c r="F84" s="301"/>
      <c r="G84" s="293" t="s">
        <v>493</v>
      </c>
      <c r="H84" s="294">
        <f>SUM(H85:H89)</f>
        <v>130000</v>
      </c>
      <c r="I84" s="294">
        <f aca="true" t="shared" si="31" ref="I84:S84">SUM(I85:I89)</f>
        <v>80000</v>
      </c>
      <c r="J84" s="294">
        <f t="shared" si="31"/>
        <v>0</v>
      </c>
      <c r="K84" s="294">
        <f t="shared" si="31"/>
        <v>0</v>
      </c>
      <c r="L84" s="294">
        <f t="shared" si="31"/>
        <v>50000</v>
      </c>
      <c r="M84" s="294">
        <f t="shared" si="31"/>
        <v>20000</v>
      </c>
      <c r="N84" s="294">
        <f t="shared" si="31"/>
        <v>0</v>
      </c>
      <c r="O84" s="294">
        <f t="shared" si="31"/>
        <v>20000</v>
      </c>
      <c r="P84" s="294">
        <f t="shared" si="31"/>
        <v>0</v>
      </c>
      <c r="Q84" s="294">
        <f t="shared" si="31"/>
        <v>0</v>
      </c>
      <c r="R84" s="294">
        <f t="shared" si="31"/>
        <v>0</v>
      </c>
      <c r="S84" s="294">
        <f t="shared" si="31"/>
        <v>150000</v>
      </c>
      <c r="T84" s="43">
        <f t="shared" si="28"/>
        <v>150000</v>
      </c>
      <c r="U84" s="43">
        <f t="shared" si="29"/>
        <v>0</v>
      </c>
    </row>
    <row r="85" spans="1:21" s="26" customFormat="1" ht="69.75" customHeight="1">
      <c r="A85" s="165"/>
      <c r="B85" s="72"/>
      <c r="C85" s="72"/>
      <c r="D85" s="479">
        <v>1216084</v>
      </c>
      <c r="E85" s="479">
        <v>6084</v>
      </c>
      <c r="F85" s="473" t="s">
        <v>432</v>
      </c>
      <c r="G85" s="480" t="s">
        <v>433</v>
      </c>
      <c r="H85" s="295">
        <f>L85+I85</f>
        <v>0</v>
      </c>
      <c r="I85" s="296"/>
      <c r="J85" s="296"/>
      <c r="K85" s="296"/>
      <c r="L85" s="296"/>
      <c r="M85" s="295">
        <f>O85+R85</f>
        <v>0</v>
      </c>
      <c r="N85" s="296"/>
      <c r="O85" s="296"/>
      <c r="P85" s="296"/>
      <c r="Q85" s="296"/>
      <c r="R85" s="296"/>
      <c r="S85" s="297">
        <f>H85+M85</f>
        <v>0</v>
      </c>
      <c r="T85" s="43">
        <f t="shared" si="28"/>
        <v>0</v>
      </c>
      <c r="U85" s="43"/>
    </row>
    <row r="86" spans="1:21" s="25" customFormat="1" ht="53.25" customHeight="1">
      <c r="A86" s="157"/>
      <c r="B86" s="52"/>
      <c r="C86" s="52"/>
      <c r="D86" s="473" t="s">
        <v>740</v>
      </c>
      <c r="E86" s="473" t="s">
        <v>739</v>
      </c>
      <c r="F86" s="473" t="s">
        <v>70</v>
      </c>
      <c r="G86" s="481" t="s">
        <v>738</v>
      </c>
      <c r="H86" s="295">
        <f>L86+I86</f>
        <v>50000</v>
      </c>
      <c r="I86" s="296">
        <v>50000</v>
      </c>
      <c r="J86" s="296"/>
      <c r="K86" s="390"/>
      <c r="L86" s="295"/>
      <c r="M86" s="295">
        <f>O86+R86</f>
        <v>0</v>
      </c>
      <c r="N86" s="295"/>
      <c r="O86" s="296"/>
      <c r="P86" s="296"/>
      <c r="Q86" s="296"/>
      <c r="R86" s="296"/>
      <c r="S86" s="297">
        <f>H86+M86</f>
        <v>50000</v>
      </c>
      <c r="T86" s="43">
        <f t="shared" si="28"/>
        <v>50000</v>
      </c>
      <c r="U86" s="43">
        <f t="shared" si="29"/>
        <v>0</v>
      </c>
    </row>
    <row r="87" spans="1:21" s="25" customFormat="1" ht="27.75" customHeight="1">
      <c r="A87" s="157" t="s">
        <v>82</v>
      </c>
      <c r="B87" s="157">
        <v>7810</v>
      </c>
      <c r="C87" s="157" t="s">
        <v>422</v>
      </c>
      <c r="D87" s="473" t="s">
        <v>367</v>
      </c>
      <c r="E87" s="473" t="s">
        <v>368</v>
      </c>
      <c r="F87" s="473" t="s">
        <v>369</v>
      </c>
      <c r="G87" s="478" t="s">
        <v>370</v>
      </c>
      <c r="H87" s="295">
        <f>L87+I87</f>
        <v>50000</v>
      </c>
      <c r="I87" s="296"/>
      <c r="J87" s="295"/>
      <c r="K87" s="295"/>
      <c r="L87" s="296">
        <v>50000</v>
      </c>
      <c r="M87" s="295">
        <f>O87+R87</f>
        <v>0</v>
      </c>
      <c r="N87" s="295"/>
      <c r="O87" s="295"/>
      <c r="P87" s="295"/>
      <c r="Q87" s="295"/>
      <c r="R87" s="295"/>
      <c r="S87" s="297">
        <f>H87+M87</f>
        <v>50000</v>
      </c>
      <c r="T87" s="43">
        <f t="shared" si="28"/>
        <v>50000</v>
      </c>
      <c r="U87" s="43">
        <f t="shared" si="29"/>
        <v>0</v>
      </c>
    </row>
    <row r="88" spans="1:21" s="25" customFormat="1" ht="46.5" customHeight="1">
      <c r="A88" s="157"/>
      <c r="B88" s="157"/>
      <c r="C88" s="157"/>
      <c r="D88" s="473" t="s">
        <v>756</v>
      </c>
      <c r="E88" s="473" t="s">
        <v>757</v>
      </c>
      <c r="F88" s="473" t="s">
        <v>422</v>
      </c>
      <c r="G88" s="478" t="s">
        <v>758</v>
      </c>
      <c r="H88" s="295">
        <f>L88+I88</f>
        <v>30000</v>
      </c>
      <c r="I88" s="296">
        <v>30000</v>
      </c>
      <c r="J88" s="295"/>
      <c r="K88" s="295"/>
      <c r="L88" s="387"/>
      <c r="M88" s="295">
        <f>O88+R88</f>
        <v>0</v>
      </c>
      <c r="N88" s="295"/>
      <c r="O88" s="295"/>
      <c r="P88" s="295"/>
      <c r="Q88" s="295"/>
      <c r="R88" s="295"/>
      <c r="S88" s="297">
        <f>H88+M88</f>
        <v>30000</v>
      </c>
      <c r="T88" s="43">
        <f t="shared" si="28"/>
        <v>30000</v>
      </c>
      <c r="U88" s="43">
        <f t="shared" si="29"/>
        <v>0</v>
      </c>
    </row>
    <row r="89" spans="1:21" s="25" customFormat="1" ht="46.5" customHeight="1">
      <c r="A89" s="157"/>
      <c r="B89" s="157"/>
      <c r="C89" s="157"/>
      <c r="D89" s="473" t="s">
        <v>371</v>
      </c>
      <c r="E89" s="473" t="s">
        <v>372</v>
      </c>
      <c r="F89" s="473" t="s">
        <v>373</v>
      </c>
      <c r="G89" s="478" t="s">
        <v>710</v>
      </c>
      <c r="H89" s="295">
        <f>L89+I89</f>
        <v>0</v>
      </c>
      <c r="I89" s="296">
        <f>20000-20000</f>
        <v>0</v>
      </c>
      <c r="J89" s="296"/>
      <c r="K89" s="296"/>
      <c r="L89" s="390"/>
      <c r="M89" s="295">
        <f>O89+R89</f>
        <v>20000</v>
      </c>
      <c r="N89" s="295"/>
      <c r="O89" s="296">
        <v>20000</v>
      </c>
      <c r="P89" s="296"/>
      <c r="Q89" s="296"/>
      <c r="R89" s="296"/>
      <c r="S89" s="297">
        <f>H89+M89</f>
        <v>20000</v>
      </c>
      <c r="T89" s="43">
        <f t="shared" si="28"/>
        <v>20000</v>
      </c>
      <c r="U89" s="43">
        <f t="shared" si="29"/>
        <v>0</v>
      </c>
    </row>
    <row r="90" spans="1:21" s="25" customFormat="1" ht="71.25" customHeight="1">
      <c r="A90" s="157"/>
      <c r="B90" s="157"/>
      <c r="C90" s="157"/>
      <c r="D90" s="301">
        <v>1600000</v>
      </c>
      <c r="E90" s="388"/>
      <c r="F90" s="388"/>
      <c r="G90" s="389" t="s">
        <v>201</v>
      </c>
      <c r="H90" s="294">
        <f>H91</f>
        <v>100000</v>
      </c>
      <c r="I90" s="294">
        <f aca="true" t="shared" si="32" ref="I90:R90">I91</f>
        <v>0</v>
      </c>
      <c r="J90" s="294">
        <f t="shared" si="32"/>
        <v>0</v>
      </c>
      <c r="K90" s="294">
        <f t="shared" si="32"/>
        <v>0</v>
      </c>
      <c r="L90" s="294">
        <f t="shared" si="32"/>
        <v>100000</v>
      </c>
      <c r="M90" s="294">
        <f t="shared" si="32"/>
        <v>0</v>
      </c>
      <c r="N90" s="294"/>
      <c r="O90" s="294">
        <f t="shared" si="32"/>
        <v>0</v>
      </c>
      <c r="P90" s="294">
        <f t="shared" si="32"/>
        <v>0</v>
      </c>
      <c r="Q90" s="294">
        <f t="shared" si="32"/>
        <v>0</v>
      </c>
      <c r="R90" s="294">
        <f t="shared" si="32"/>
        <v>0</v>
      </c>
      <c r="S90" s="294">
        <f>S91</f>
        <v>100000</v>
      </c>
      <c r="T90" s="43"/>
      <c r="U90" s="43"/>
    </row>
    <row r="91" spans="1:21" s="25" customFormat="1" ht="71.25" customHeight="1">
      <c r="A91" s="157"/>
      <c r="B91" s="157"/>
      <c r="C91" s="157"/>
      <c r="D91" s="301">
        <v>1610000</v>
      </c>
      <c r="E91" s="388"/>
      <c r="F91" s="388"/>
      <c r="G91" s="389" t="s">
        <v>201</v>
      </c>
      <c r="H91" s="294">
        <f>SUM(H92)</f>
        <v>100000</v>
      </c>
      <c r="I91" s="294">
        <f aca="true" t="shared" si="33" ref="I91:S91">SUM(I92)</f>
        <v>0</v>
      </c>
      <c r="J91" s="294">
        <f t="shared" si="33"/>
        <v>0</v>
      </c>
      <c r="K91" s="294">
        <f t="shared" si="33"/>
        <v>0</v>
      </c>
      <c r="L91" s="294">
        <f t="shared" si="33"/>
        <v>100000</v>
      </c>
      <c r="M91" s="294">
        <f t="shared" si="33"/>
        <v>0</v>
      </c>
      <c r="N91" s="294">
        <f t="shared" si="33"/>
        <v>0</v>
      </c>
      <c r="O91" s="294">
        <f t="shared" si="33"/>
        <v>0</v>
      </c>
      <c r="P91" s="294">
        <f t="shared" si="33"/>
        <v>0</v>
      </c>
      <c r="Q91" s="294">
        <f t="shared" si="33"/>
        <v>0</v>
      </c>
      <c r="R91" s="294">
        <f t="shared" si="33"/>
        <v>0</v>
      </c>
      <c r="S91" s="294">
        <f t="shared" si="33"/>
        <v>100000</v>
      </c>
      <c r="T91" s="43"/>
      <c r="U91" s="43"/>
    </row>
    <row r="92" spans="1:21" s="25" customFormat="1" ht="46.5" customHeight="1">
      <c r="A92" s="157"/>
      <c r="B92" s="157"/>
      <c r="C92" s="157"/>
      <c r="D92" s="473" t="s">
        <v>202</v>
      </c>
      <c r="E92" s="473" t="s">
        <v>703</v>
      </c>
      <c r="F92" s="473" t="s">
        <v>363</v>
      </c>
      <c r="G92" s="474" t="s">
        <v>704</v>
      </c>
      <c r="H92" s="295">
        <f>L92</f>
        <v>100000</v>
      </c>
      <c r="I92" s="296"/>
      <c r="J92" s="296"/>
      <c r="K92" s="296"/>
      <c r="L92" s="390">
        <v>100000</v>
      </c>
      <c r="M92" s="295">
        <f>O92+R92</f>
        <v>0</v>
      </c>
      <c r="N92" s="295"/>
      <c r="O92" s="296"/>
      <c r="P92" s="296"/>
      <c r="Q92" s="296"/>
      <c r="R92" s="296"/>
      <c r="S92" s="297">
        <f>H92+M92</f>
        <v>100000</v>
      </c>
      <c r="T92" s="43"/>
      <c r="U92" s="43"/>
    </row>
    <row r="93" spans="1:21" s="25" customFormat="1" ht="53.25" customHeight="1" hidden="1">
      <c r="A93" s="165">
        <v>5300000</v>
      </c>
      <c r="B93" s="72"/>
      <c r="C93" s="72"/>
      <c r="D93" s="301">
        <v>2400000</v>
      </c>
      <c r="E93" s="388"/>
      <c r="F93" s="388"/>
      <c r="G93" s="389" t="s">
        <v>253</v>
      </c>
      <c r="H93" s="294">
        <f>H94</f>
        <v>0</v>
      </c>
      <c r="I93" s="294">
        <f aca="true" t="shared" si="34" ref="I93:S93">I94</f>
        <v>0</v>
      </c>
      <c r="J93" s="294">
        <f t="shared" si="34"/>
        <v>0</v>
      </c>
      <c r="K93" s="294">
        <f t="shared" si="34"/>
        <v>0</v>
      </c>
      <c r="L93" s="294">
        <f t="shared" si="34"/>
        <v>0</v>
      </c>
      <c r="M93" s="294">
        <f t="shared" si="34"/>
        <v>0</v>
      </c>
      <c r="N93" s="294">
        <f t="shared" si="34"/>
        <v>0</v>
      </c>
      <c r="O93" s="294">
        <f t="shared" si="34"/>
        <v>0</v>
      </c>
      <c r="P93" s="294">
        <f t="shared" si="34"/>
        <v>0</v>
      </c>
      <c r="Q93" s="294">
        <f t="shared" si="34"/>
        <v>0</v>
      </c>
      <c r="R93" s="294">
        <f t="shared" si="34"/>
        <v>0</v>
      </c>
      <c r="S93" s="294">
        <f t="shared" si="34"/>
        <v>0</v>
      </c>
      <c r="T93" s="43">
        <f t="shared" si="28"/>
        <v>0</v>
      </c>
      <c r="U93" s="43">
        <f t="shared" si="29"/>
        <v>0</v>
      </c>
    </row>
    <row r="94" spans="1:21" s="25" customFormat="1" ht="54.75" customHeight="1" hidden="1">
      <c r="A94" s="165">
        <v>5310000</v>
      </c>
      <c r="B94" s="72"/>
      <c r="C94" s="72"/>
      <c r="D94" s="301">
        <v>2410000</v>
      </c>
      <c r="E94" s="388"/>
      <c r="F94" s="388"/>
      <c r="G94" s="389" t="s">
        <v>253</v>
      </c>
      <c r="H94" s="294">
        <f>SUM(H95:H96)</f>
        <v>0</v>
      </c>
      <c r="I94" s="294">
        <f aca="true" t="shared" si="35" ref="I94:S94">SUM(I95:I96)</f>
        <v>0</v>
      </c>
      <c r="J94" s="294">
        <f t="shared" si="35"/>
        <v>0</v>
      </c>
      <c r="K94" s="294">
        <f t="shared" si="35"/>
        <v>0</v>
      </c>
      <c r="L94" s="294">
        <f t="shared" si="35"/>
        <v>0</v>
      </c>
      <c r="M94" s="294">
        <f t="shared" si="35"/>
        <v>0</v>
      </c>
      <c r="N94" s="294">
        <f t="shared" si="35"/>
        <v>0</v>
      </c>
      <c r="O94" s="294">
        <f t="shared" si="35"/>
        <v>0</v>
      </c>
      <c r="P94" s="294">
        <f t="shared" si="35"/>
        <v>0</v>
      </c>
      <c r="Q94" s="294">
        <f t="shared" si="35"/>
        <v>0</v>
      </c>
      <c r="R94" s="294">
        <f t="shared" si="35"/>
        <v>0</v>
      </c>
      <c r="S94" s="294">
        <f t="shared" si="35"/>
        <v>0</v>
      </c>
      <c r="T94" s="43">
        <f t="shared" si="28"/>
        <v>0</v>
      </c>
      <c r="U94" s="43">
        <f t="shared" si="29"/>
        <v>0</v>
      </c>
    </row>
    <row r="95" spans="1:21" s="25" customFormat="1" ht="46.5" customHeight="1" hidden="1">
      <c r="A95" s="72">
        <v>5317330</v>
      </c>
      <c r="B95" s="72">
        <v>7330</v>
      </c>
      <c r="C95" s="52" t="s">
        <v>100</v>
      </c>
      <c r="D95" s="479">
        <v>2417110</v>
      </c>
      <c r="E95" s="479">
        <v>7110</v>
      </c>
      <c r="F95" s="473" t="s">
        <v>100</v>
      </c>
      <c r="G95" s="478" t="s">
        <v>274</v>
      </c>
      <c r="H95" s="295">
        <f>L95+I95</f>
        <v>0</v>
      </c>
      <c r="I95" s="387"/>
      <c r="J95" s="295"/>
      <c r="K95" s="295"/>
      <c r="L95" s="296"/>
      <c r="M95" s="295">
        <f>O95+R95</f>
        <v>0</v>
      </c>
      <c r="N95" s="296"/>
      <c r="O95" s="295"/>
      <c r="P95" s="295"/>
      <c r="Q95" s="295"/>
      <c r="R95" s="295"/>
      <c r="S95" s="297">
        <f>H95+M95</f>
        <v>0</v>
      </c>
      <c r="T95" s="43">
        <f t="shared" si="28"/>
        <v>0</v>
      </c>
      <c r="U95" s="43">
        <f t="shared" si="29"/>
        <v>0</v>
      </c>
    </row>
    <row r="96" spans="1:21" s="25" customFormat="1" ht="46.5" customHeight="1" hidden="1">
      <c r="A96" s="72"/>
      <c r="B96" s="72"/>
      <c r="C96" s="52"/>
      <c r="D96" s="479">
        <v>2417140</v>
      </c>
      <c r="E96" s="479">
        <v>7140</v>
      </c>
      <c r="F96" s="473" t="s">
        <v>100</v>
      </c>
      <c r="G96" s="478" t="s">
        <v>725</v>
      </c>
      <c r="H96" s="295">
        <f>L96+I96</f>
        <v>0</v>
      </c>
      <c r="I96" s="296"/>
      <c r="J96" s="295"/>
      <c r="K96" s="295"/>
      <c r="L96" s="296"/>
      <c r="M96" s="295">
        <f>O96+R96</f>
        <v>0</v>
      </c>
      <c r="N96" s="296"/>
      <c r="O96" s="295"/>
      <c r="P96" s="295"/>
      <c r="Q96" s="295"/>
      <c r="R96" s="295"/>
      <c r="S96" s="297">
        <f>H96+M96</f>
        <v>0</v>
      </c>
      <c r="T96" s="43"/>
      <c r="U96" s="43"/>
    </row>
    <row r="97" spans="1:21" s="158" customFormat="1" ht="55.5" customHeight="1" hidden="1">
      <c r="A97" s="155">
        <v>7300000</v>
      </c>
      <c r="B97" s="157"/>
      <c r="C97" s="157"/>
      <c r="D97" s="292" t="s">
        <v>275</v>
      </c>
      <c r="E97" s="298"/>
      <c r="F97" s="298"/>
      <c r="G97" s="389" t="s">
        <v>423</v>
      </c>
      <c r="H97" s="294">
        <f>H98</f>
        <v>0</v>
      </c>
      <c r="I97" s="294">
        <f aca="true" t="shared" si="36" ref="I97:S97">I98</f>
        <v>0</v>
      </c>
      <c r="J97" s="294">
        <f t="shared" si="36"/>
        <v>0</v>
      </c>
      <c r="K97" s="294">
        <f t="shared" si="36"/>
        <v>0</v>
      </c>
      <c r="L97" s="294">
        <f t="shared" si="36"/>
        <v>0</v>
      </c>
      <c r="M97" s="294">
        <f t="shared" si="36"/>
        <v>0</v>
      </c>
      <c r="N97" s="294"/>
      <c r="O97" s="294">
        <f t="shared" si="36"/>
        <v>0</v>
      </c>
      <c r="P97" s="294">
        <f t="shared" si="36"/>
        <v>0</v>
      </c>
      <c r="Q97" s="294">
        <f t="shared" si="36"/>
        <v>0</v>
      </c>
      <c r="R97" s="294">
        <f t="shared" si="36"/>
        <v>0</v>
      </c>
      <c r="S97" s="294">
        <f t="shared" si="36"/>
        <v>0</v>
      </c>
      <c r="T97" s="43">
        <f t="shared" si="28"/>
        <v>0</v>
      </c>
      <c r="U97" s="43">
        <f t="shared" si="29"/>
        <v>0</v>
      </c>
    </row>
    <row r="98" spans="1:21" s="158" customFormat="1" ht="57" customHeight="1" hidden="1">
      <c r="A98" s="155">
        <v>7310000</v>
      </c>
      <c r="B98" s="157"/>
      <c r="C98" s="157"/>
      <c r="D98" s="292" t="s">
        <v>276</v>
      </c>
      <c r="E98" s="298"/>
      <c r="F98" s="298"/>
      <c r="G98" s="389" t="s">
        <v>423</v>
      </c>
      <c r="H98" s="294">
        <f>SUM(H99:H100)</f>
        <v>0</v>
      </c>
      <c r="I98" s="294">
        <f aca="true" t="shared" si="37" ref="I98:S98">SUM(I99:I100)</f>
        <v>0</v>
      </c>
      <c r="J98" s="294">
        <f t="shared" si="37"/>
        <v>0</v>
      </c>
      <c r="K98" s="294">
        <f t="shared" si="37"/>
        <v>0</v>
      </c>
      <c r="L98" s="294">
        <f t="shared" si="37"/>
        <v>0</v>
      </c>
      <c r="M98" s="294">
        <f t="shared" si="37"/>
        <v>0</v>
      </c>
      <c r="N98" s="294">
        <f t="shared" si="37"/>
        <v>0</v>
      </c>
      <c r="O98" s="294">
        <f t="shared" si="37"/>
        <v>0</v>
      </c>
      <c r="P98" s="294">
        <f t="shared" si="37"/>
        <v>0</v>
      </c>
      <c r="Q98" s="294">
        <f t="shared" si="37"/>
        <v>0</v>
      </c>
      <c r="R98" s="294">
        <f t="shared" si="37"/>
        <v>0</v>
      </c>
      <c r="S98" s="294">
        <f t="shared" si="37"/>
        <v>0</v>
      </c>
      <c r="T98" s="43">
        <f t="shared" si="28"/>
        <v>0</v>
      </c>
      <c r="U98" s="43">
        <f t="shared" si="29"/>
        <v>0</v>
      </c>
    </row>
    <row r="99" spans="1:21" s="158" customFormat="1" ht="44.25" customHeight="1" hidden="1">
      <c r="A99" s="157" t="s">
        <v>174</v>
      </c>
      <c r="B99" s="157" t="s">
        <v>175</v>
      </c>
      <c r="C99" s="157" t="s">
        <v>176</v>
      </c>
      <c r="D99" s="473" t="s">
        <v>277</v>
      </c>
      <c r="E99" s="473" t="s">
        <v>735</v>
      </c>
      <c r="F99" s="473" t="s">
        <v>176</v>
      </c>
      <c r="G99" s="478" t="s">
        <v>177</v>
      </c>
      <c r="H99" s="295">
        <f>L99+I99</f>
        <v>0</v>
      </c>
      <c r="I99" s="296"/>
      <c r="J99" s="295"/>
      <c r="K99" s="295"/>
      <c r="L99" s="387"/>
      <c r="M99" s="295">
        <f>O99+R99</f>
        <v>0</v>
      </c>
      <c r="N99" s="295"/>
      <c r="O99" s="295"/>
      <c r="P99" s="295"/>
      <c r="Q99" s="295"/>
      <c r="R99" s="295"/>
      <c r="S99" s="297">
        <f>H99+M99</f>
        <v>0</v>
      </c>
      <c r="T99" s="43">
        <f t="shared" si="28"/>
        <v>0</v>
      </c>
      <c r="U99" s="43">
        <f t="shared" si="29"/>
        <v>0</v>
      </c>
    </row>
    <row r="100" spans="1:21" s="158" customFormat="1" ht="43.5" customHeight="1" hidden="1">
      <c r="A100" s="157"/>
      <c r="B100" s="157"/>
      <c r="C100" s="157"/>
      <c r="D100" s="473" t="s">
        <v>374</v>
      </c>
      <c r="E100" s="473" t="s">
        <v>375</v>
      </c>
      <c r="F100" s="473" t="s">
        <v>376</v>
      </c>
      <c r="G100" s="478" t="s">
        <v>377</v>
      </c>
      <c r="H100" s="295">
        <f>L100+I100</f>
        <v>0</v>
      </c>
      <c r="I100" s="475"/>
      <c r="J100" s="297"/>
      <c r="K100" s="297"/>
      <c r="L100" s="387"/>
      <c r="M100" s="295">
        <f>O100+R100</f>
        <v>0</v>
      </c>
      <c r="N100" s="295"/>
      <c r="O100" s="297"/>
      <c r="P100" s="297"/>
      <c r="Q100" s="297"/>
      <c r="R100" s="297"/>
      <c r="S100" s="297">
        <f>H100+M100</f>
        <v>0</v>
      </c>
      <c r="T100" s="43">
        <f t="shared" si="28"/>
        <v>0</v>
      </c>
      <c r="U100" s="43">
        <f t="shared" si="29"/>
        <v>0</v>
      </c>
    </row>
    <row r="101" spans="1:21" s="158" customFormat="1" ht="40.5" customHeight="1">
      <c r="A101" s="155">
        <v>7600000</v>
      </c>
      <c r="B101" s="157"/>
      <c r="C101" s="157"/>
      <c r="D101" s="292" t="s">
        <v>278</v>
      </c>
      <c r="E101" s="292"/>
      <c r="F101" s="292"/>
      <c r="G101" s="293" t="s">
        <v>452</v>
      </c>
      <c r="H101" s="294">
        <f>H102</f>
        <v>40063211</v>
      </c>
      <c r="I101" s="294">
        <f aca="true" t="shared" si="38" ref="I101:S101">I102</f>
        <v>39863211</v>
      </c>
      <c r="J101" s="294">
        <f t="shared" si="38"/>
        <v>0</v>
      </c>
      <c r="K101" s="294">
        <f t="shared" si="38"/>
        <v>0</v>
      </c>
      <c r="L101" s="294">
        <f t="shared" si="38"/>
        <v>0</v>
      </c>
      <c r="M101" s="294">
        <f t="shared" si="38"/>
        <v>479104</v>
      </c>
      <c r="N101" s="294">
        <f>N102</f>
        <v>479104</v>
      </c>
      <c r="O101" s="294">
        <f t="shared" si="38"/>
        <v>0</v>
      </c>
      <c r="P101" s="294">
        <f t="shared" si="38"/>
        <v>0</v>
      </c>
      <c r="Q101" s="294">
        <f t="shared" si="38"/>
        <v>0</v>
      </c>
      <c r="R101" s="294">
        <f t="shared" si="38"/>
        <v>479104</v>
      </c>
      <c r="S101" s="294">
        <f t="shared" si="38"/>
        <v>40542315</v>
      </c>
      <c r="T101" s="43">
        <f t="shared" si="28"/>
        <v>40542315</v>
      </c>
      <c r="U101" s="43">
        <f t="shared" si="29"/>
        <v>0</v>
      </c>
    </row>
    <row r="102" spans="1:21" s="156" customFormat="1" ht="36.75" customHeight="1">
      <c r="A102" s="155" t="s">
        <v>780</v>
      </c>
      <c r="B102" s="155"/>
      <c r="C102" s="155"/>
      <c r="D102" s="292" t="s">
        <v>279</v>
      </c>
      <c r="E102" s="292"/>
      <c r="F102" s="292"/>
      <c r="G102" s="293" t="s">
        <v>452</v>
      </c>
      <c r="H102" s="294">
        <f>SUM(H103:H107)</f>
        <v>40063211</v>
      </c>
      <c r="I102" s="294">
        <f aca="true" t="shared" si="39" ref="I102:S102">SUM(I103:I107)</f>
        <v>39863211</v>
      </c>
      <c r="J102" s="294">
        <f t="shared" si="39"/>
        <v>0</v>
      </c>
      <c r="K102" s="294">
        <f t="shared" si="39"/>
        <v>0</v>
      </c>
      <c r="L102" s="294">
        <f t="shared" si="39"/>
        <v>0</v>
      </c>
      <c r="M102" s="294">
        <f t="shared" si="39"/>
        <v>479104</v>
      </c>
      <c r="N102" s="294">
        <f t="shared" si="39"/>
        <v>479104</v>
      </c>
      <c r="O102" s="294">
        <f t="shared" si="39"/>
        <v>0</v>
      </c>
      <c r="P102" s="294">
        <f t="shared" si="39"/>
        <v>0</v>
      </c>
      <c r="Q102" s="294">
        <f t="shared" si="39"/>
        <v>0</v>
      </c>
      <c r="R102" s="294">
        <f t="shared" si="39"/>
        <v>479104</v>
      </c>
      <c r="S102" s="294">
        <f t="shared" si="39"/>
        <v>40542315</v>
      </c>
      <c r="T102" s="43">
        <f t="shared" si="28"/>
        <v>40542315</v>
      </c>
      <c r="U102" s="43">
        <f t="shared" si="29"/>
        <v>0</v>
      </c>
    </row>
    <row r="103" spans="1:21" s="158" customFormat="1" ht="32.25" customHeight="1">
      <c r="A103" s="157" t="s">
        <v>419</v>
      </c>
      <c r="B103" s="157">
        <v>8010</v>
      </c>
      <c r="C103" s="157" t="s">
        <v>691</v>
      </c>
      <c r="D103" s="473" t="s">
        <v>731</v>
      </c>
      <c r="E103" s="473" t="s">
        <v>732</v>
      </c>
      <c r="F103" s="473" t="s">
        <v>691</v>
      </c>
      <c r="G103" s="474" t="s">
        <v>59</v>
      </c>
      <c r="H103" s="295">
        <f>250000-50000</f>
        <v>200000</v>
      </c>
      <c r="I103" s="296"/>
      <c r="J103" s="296">
        <v>0</v>
      </c>
      <c r="K103" s="296">
        <v>0</v>
      </c>
      <c r="L103" s="296"/>
      <c r="M103" s="295">
        <f>O103+R103</f>
        <v>0</v>
      </c>
      <c r="N103" s="296"/>
      <c r="O103" s="296">
        <v>0</v>
      </c>
      <c r="P103" s="296">
        <v>0</v>
      </c>
      <c r="Q103" s="296">
        <v>0</v>
      </c>
      <c r="R103" s="296">
        <v>0</v>
      </c>
      <c r="S103" s="297">
        <f>H103+M103</f>
        <v>200000</v>
      </c>
      <c r="T103" s="43">
        <f t="shared" si="28"/>
        <v>200000</v>
      </c>
      <c r="U103" s="43">
        <f t="shared" si="29"/>
        <v>0</v>
      </c>
    </row>
    <row r="104" spans="1:21" s="158" customFormat="1" ht="55.5" customHeight="1" hidden="1">
      <c r="A104" s="157"/>
      <c r="B104" s="157"/>
      <c r="C104" s="157"/>
      <c r="D104" s="473" t="s">
        <v>394</v>
      </c>
      <c r="E104" s="473" t="s">
        <v>395</v>
      </c>
      <c r="F104" s="473" t="s">
        <v>420</v>
      </c>
      <c r="G104" s="474" t="s">
        <v>396</v>
      </c>
      <c r="H104" s="295">
        <f>L104+I104</f>
        <v>0</v>
      </c>
      <c r="I104" s="296"/>
      <c r="J104" s="296"/>
      <c r="K104" s="296"/>
      <c r="L104" s="296"/>
      <c r="M104" s="295">
        <f>O104+R104</f>
        <v>0</v>
      </c>
      <c r="N104" s="296"/>
      <c r="O104" s="296"/>
      <c r="P104" s="296"/>
      <c r="Q104" s="296"/>
      <c r="R104" s="296"/>
      <c r="S104" s="297">
        <f>H104+M104</f>
        <v>0</v>
      </c>
      <c r="T104" s="43"/>
      <c r="U104" s="43"/>
    </row>
    <row r="105" spans="1:21" s="158" customFormat="1" ht="303.75" customHeight="1" hidden="1">
      <c r="A105" s="157"/>
      <c r="B105" s="157"/>
      <c r="C105" s="157"/>
      <c r="D105" s="473" t="s">
        <v>772</v>
      </c>
      <c r="E105" s="473" t="s">
        <v>773</v>
      </c>
      <c r="F105" s="473" t="s">
        <v>420</v>
      </c>
      <c r="G105" s="474" t="s">
        <v>776</v>
      </c>
      <c r="H105" s="295">
        <f>L105+I105</f>
        <v>0</v>
      </c>
      <c r="I105" s="296"/>
      <c r="J105" s="296"/>
      <c r="K105" s="296"/>
      <c r="L105" s="296"/>
      <c r="M105" s="295">
        <f>O105+R105</f>
        <v>0</v>
      </c>
      <c r="N105" s="296"/>
      <c r="O105" s="296"/>
      <c r="P105" s="296"/>
      <c r="Q105" s="296"/>
      <c r="R105" s="296"/>
      <c r="S105" s="297">
        <f>H105+M105</f>
        <v>0</v>
      </c>
      <c r="T105" s="43"/>
      <c r="U105" s="43"/>
    </row>
    <row r="106" spans="1:21" s="25" customFormat="1" ht="31.5" customHeight="1">
      <c r="A106" s="203" t="s">
        <v>421</v>
      </c>
      <c r="B106" s="52">
        <v>8800</v>
      </c>
      <c r="C106" s="52" t="s">
        <v>420</v>
      </c>
      <c r="D106" s="476">
        <v>3719770</v>
      </c>
      <c r="E106" s="473" t="s">
        <v>733</v>
      </c>
      <c r="F106" s="473" t="s">
        <v>420</v>
      </c>
      <c r="G106" s="477" t="s">
        <v>734</v>
      </c>
      <c r="H106" s="295">
        <f>L106+I106</f>
        <v>38912762</v>
      </c>
      <c r="I106" s="296">
        <f>31409499+7425654+77609</f>
        <v>38912762</v>
      </c>
      <c r="J106" s="296">
        <v>0</v>
      </c>
      <c r="K106" s="296">
        <v>0</v>
      </c>
      <c r="L106" s="296">
        <v>0</v>
      </c>
      <c r="M106" s="295">
        <f>O106+R106</f>
        <v>400000</v>
      </c>
      <c r="N106" s="296">
        <f>350000+50000</f>
        <v>400000</v>
      </c>
      <c r="O106" s="296">
        <v>0</v>
      </c>
      <c r="P106" s="296">
        <v>0</v>
      </c>
      <c r="Q106" s="296">
        <v>0</v>
      </c>
      <c r="R106" s="296">
        <f>350000+50000</f>
        <v>400000</v>
      </c>
      <c r="S106" s="297">
        <f>H106+M106</f>
        <v>39312762</v>
      </c>
      <c r="T106" s="43">
        <f t="shared" si="28"/>
        <v>39312762</v>
      </c>
      <c r="U106" s="43">
        <f t="shared" si="29"/>
        <v>0</v>
      </c>
    </row>
    <row r="107" spans="1:21" s="26" customFormat="1" ht="55.5" customHeight="1">
      <c r="A107" s="202" t="s">
        <v>178</v>
      </c>
      <c r="B107" s="202">
        <v>8370</v>
      </c>
      <c r="C107" s="140" t="s">
        <v>420</v>
      </c>
      <c r="D107" s="476">
        <v>3719800</v>
      </c>
      <c r="E107" s="476">
        <v>9800</v>
      </c>
      <c r="F107" s="473" t="s">
        <v>420</v>
      </c>
      <c r="G107" s="474" t="s">
        <v>745</v>
      </c>
      <c r="H107" s="295">
        <f>L107+I107</f>
        <v>950449</v>
      </c>
      <c r="I107" s="296">
        <v>950449</v>
      </c>
      <c r="J107" s="296"/>
      <c r="K107" s="296">
        <v>0</v>
      </c>
      <c r="L107" s="390"/>
      <c r="M107" s="295">
        <f>O107+R107</f>
        <v>79104</v>
      </c>
      <c r="N107" s="296">
        <v>79104</v>
      </c>
      <c r="O107" s="296"/>
      <c r="P107" s="296">
        <v>0</v>
      </c>
      <c r="Q107" s="296">
        <v>0</v>
      </c>
      <c r="R107" s="296">
        <v>79104</v>
      </c>
      <c r="S107" s="297">
        <f>H107+M107</f>
        <v>1029553</v>
      </c>
      <c r="T107" s="43">
        <f t="shared" si="28"/>
        <v>1029553</v>
      </c>
      <c r="U107" s="43">
        <f t="shared" si="29"/>
        <v>0</v>
      </c>
    </row>
    <row r="108" spans="1:21" s="156" customFormat="1" ht="34.5" customHeight="1">
      <c r="A108" s="266"/>
      <c r="B108" s="266"/>
      <c r="C108" s="266"/>
      <c r="D108" s="303" t="s">
        <v>162</v>
      </c>
      <c r="E108" s="303" t="s">
        <v>162</v>
      </c>
      <c r="F108" s="303" t="s">
        <v>162</v>
      </c>
      <c r="G108" s="304" t="s">
        <v>160</v>
      </c>
      <c r="H108" s="295">
        <f aca="true" t="shared" si="40" ref="H108:S108">H12+H17+H33+H42+H71+H74+H83+H93+H97+H101+H90</f>
        <v>430956830.83000004</v>
      </c>
      <c r="I108" s="295">
        <f t="shared" si="40"/>
        <v>430606830.83000004</v>
      </c>
      <c r="J108" s="295">
        <f t="shared" si="40"/>
        <v>102393027</v>
      </c>
      <c r="K108" s="295">
        <f t="shared" si="40"/>
        <v>11329494</v>
      </c>
      <c r="L108" s="295">
        <f t="shared" si="40"/>
        <v>150000</v>
      </c>
      <c r="M108" s="295">
        <f t="shared" si="40"/>
        <v>6389261</v>
      </c>
      <c r="N108" s="295">
        <f t="shared" si="40"/>
        <v>4646454</v>
      </c>
      <c r="O108" s="295">
        <f t="shared" si="40"/>
        <v>1662807</v>
      </c>
      <c r="P108" s="295">
        <f t="shared" si="40"/>
        <v>238527</v>
      </c>
      <c r="Q108" s="295">
        <f t="shared" si="40"/>
        <v>5500</v>
      </c>
      <c r="R108" s="295">
        <f t="shared" si="40"/>
        <v>4726454</v>
      </c>
      <c r="S108" s="295">
        <f t="shared" si="40"/>
        <v>437346091.83000004</v>
      </c>
      <c r="T108" s="43">
        <f t="shared" si="28"/>
        <v>437346091.83000004</v>
      </c>
      <c r="U108" s="43">
        <f t="shared" si="29"/>
        <v>0</v>
      </c>
    </row>
    <row r="109" spans="1:20" s="160" customFormat="1" ht="19.5" customHeight="1">
      <c r="A109" s="267"/>
      <c r="B109" s="267"/>
      <c r="C109" s="267"/>
      <c r="D109" s="150"/>
      <c r="E109" s="150"/>
      <c r="F109" s="150"/>
      <c r="G109" s="270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181"/>
      <c r="T109" s="43"/>
    </row>
    <row r="110" spans="1:20" s="160" customFormat="1" ht="18" customHeight="1">
      <c r="A110" s="267"/>
      <c r="B110" s="267"/>
      <c r="C110" s="267"/>
      <c r="D110" s="150"/>
      <c r="E110" s="150"/>
      <c r="F110" s="150"/>
      <c r="G110" s="398" t="s">
        <v>6</v>
      </c>
      <c r="H110" s="399"/>
      <c r="I110" s="399"/>
      <c r="J110" s="399"/>
      <c r="K110" s="399"/>
      <c r="L110" s="400" t="s">
        <v>434</v>
      </c>
      <c r="M110" s="229"/>
      <c r="N110" s="229"/>
      <c r="O110" s="229"/>
      <c r="P110" s="64"/>
      <c r="Q110" s="229"/>
      <c r="R110" s="66"/>
      <c r="S110" s="181"/>
      <c r="T110" s="43">
        <f>I110+M110</f>
        <v>0</v>
      </c>
    </row>
    <row r="111" spans="1:19" s="160" customFormat="1" ht="15.75" customHeight="1">
      <c r="A111" s="267"/>
      <c r="B111" s="267"/>
      <c r="C111" s="267"/>
      <c r="D111" s="150"/>
      <c r="E111" s="150"/>
      <c r="F111" s="150"/>
      <c r="G111" s="270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s="160" customFormat="1" ht="15.75" customHeight="1">
      <c r="A112" s="267"/>
      <c r="B112" s="267"/>
      <c r="C112" s="267"/>
      <c r="D112" s="150"/>
      <c r="E112" s="150"/>
      <c r="F112" s="150"/>
      <c r="G112" s="270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ht="15.75" customHeight="1">
      <c r="A113" s="268"/>
      <c r="B113" s="268"/>
      <c r="C113" s="268"/>
      <c r="D113" s="150"/>
      <c r="E113" s="150"/>
      <c r="F113" s="150"/>
      <c r="G113" s="42" t="s">
        <v>243</v>
      </c>
      <c r="H113" s="652">
        <f>H108-H114</f>
        <v>0</v>
      </c>
      <c r="I113" s="652">
        <f aca="true" t="shared" si="41" ref="I113:S113">I108-I114</f>
        <v>0</v>
      </c>
      <c r="J113" s="652">
        <f t="shared" si="41"/>
        <v>0</v>
      </c>
      <c r="K113" s="652">
        <f t="shared" si="41"/>
        <v>0</v>
      </c>
      <c r="L113" s="652">
        <f t="shared" si="41"/>
        <v>0</v>
      </c>
      <c r="M113" s="652">
        <f aca="true" t="shared" si="42" ref="M113:R113">M108-M114</f>
        <v>0</v>
      </c>
      <c r="N113" s="652">
        <f t="shared" si="42"/>
        <v>0</v>
      </c>
      <c r="O113" s="652">
        <f t="shared" si="42"/>
        <v>0</v>
      </c>
      <c r="P113" s="652">
        <f t="shared" si="42"/>
        <v>0</v>
      </c>
      <c r="Q113" s="652">
        <f t="shared" si="42"/>
        <v>0</v>
      </c>
      <c r="R113" s="652">
        <f t="shared" si="42"/>
        <v>0</v>
      </c>
      <c r="S113" s="652">
        <f t="shared" si="41"/>
        <v>0</v>
      </c>
    </row>
    <row r="114" spans="1:19" ht="15.75" customHeight="1">
      <c r="A114" s="268"/>
      <c r="B114" s="268"/>
      <c r="C114" s="268"/>
      <c r="D114" s="150"/>
      <c r="E114" s="150"/>
      <c r="F114" s="150"/>
      <c r="G114" s="270" t="s">
        <v>397</v>
      </c>
      <c r="H114" s="66">
        <f>H115+H116</f>
        <v>430956830.83000004</v>
      </c>
      <c r="I114" s="66">
        <f aca="true" t="shared" si="43" ref="I114:S114">I115+I116</f>
        <v>430606830.83000004</v>
      </c>
      <c r="J114" s="66">
        <f t="shared" si="43"/>
        <v>102393027</v>
      </c>
      <c r="K114" s="66">
        <f t="shared" si="43"/>
        <v>11329494</v>
      </c>
      <c r="L114" s="66">
        <f t="shared" si="43"/>
        <v>150000</v>
      </c>
      <c r="M114" s="66">
        <f t="shared" si="43"/>
        <v>6389261</v>
      </c>
      <c r="N114" s="66">
        <f t="shared" si="43"/>
        <v>4646454</v>
      </c>
      <c r="O114" s="66">
        <f t="shared" si="43"/>
        <v>1662807</v>
      </c>
      <c r="P114" s="66">
        <f t="shared" si="43"/>
        <v>238527</v>
      </c>
      <c r="Q114" s="66">
        <f t="shared" si="43"/>
        <v>5500</v>
      </c>
      <c r="R114" s="66">
        <f t="shared" si="43"/>
        <v>4726454</v>
      </c>
      <c r="S114" s="66">
        <f t="shared" si="43"/>
        <v>437346091.83000004</v>
      </c>
    </row>
    <row r="115" spans="1:19" ht="15.75" customHeight="1">
      <c r="A115" s="268"/>
      <c r="B115" s="268"/>
      <c r="C115" s="268"/>
      <c r="D115" s="150"/>
      <c r="E115" s="150"/>
      <c r="F115" s="150"/>
      <c r="G115" s="270" t="s">
        <v>393</v>
      </c>
      <c r="H115" s="199">
        <f>H108-H116</f>
        <v>12297175.830000043</v>
      </c>
      <c r="I115" s="199">
        <f aca="true" t="shared" si="44" ref="I115:S115">I108-I116</f>
        <v>12197175.830000043</v>
      </c>
      <c r="J115" s="199">
        <f t="shared" si="44"/>
        <v>2044796</v>
      </c>
      <c r="K115" s="199">
        <f t="shared" si="44"/>
        <v>17692</v>
      </c>
      <c r="L115" s="199">
        <f t="shared" si="44"/>
        <v>100000</v>
      </c>
      <c r="M115" s="199">
        <f t="shared" si="44"/>
        <v>3309104</v>
      </c>
      <c r="N115" s="199">
        <f t="shared" si="44"/>
        <v>3289104</v>
      </c>
      <c r="O115" s="199">
        <f t="shared" si="44"/>
        <v>20000</v>
      </c>
      <c r="P115" s="199">
        <f t="shared" si="44"/>
        <v>0</v>
      </c>
      <c r="Q115" s="199">
        <f t="shared" si="44"/>
        <v>0</v>
      </c>
      <c r="R115" s="199">
        <f t="shared" si="44"/>
        <v>3289104</v>
      </c>
      <c r="S115" s="199">
        <f t="shared" si="44"/>
        <v>15606279.830000043</v>
      </c>
    </row>
    <row r="116" spans="1:19" ht="15.75" customHeight="1">
      <c r="A116" s="268"/>
      <c r="B116" s="268"/>
      <c r="C116" s="268"/>
      <c r="D116" s="150"/>
      <c r="E116" s="150"/>
      <c r="F116" s="150"/>
      <c r="G116" s="270" t="s">
        <v>315</v>
      </c>
      <c r="H116" s="295">
        <v>418659655</v>
      </c>
      <c r="I116" s="295">
        <v>418409655</v>
      </c>
      <c r="J116" s="295">
        <v>100348231</v>
      </c>
      <c r="K116" s="295">
        <v>11311802</v>
      </c>
      <c r="L116" s="295">
        <v>50000</v>
      </c>
      <c r="M116" s="295">
        <v>3080157</v>
      </c>
      <c r="N116" s="295">
        <v>1357350</v>
      </c>
      <c r="O116" s="295">
        <v>1642807</v>
      </c>
      <c r="P116" s="295">
        <v>238527</v>
      </c>
      <c r="Q116" s="295">
        <v>5500</v>
      </c>
      <c r="R116" s="295">
        <v>1437350</v>
      </c>
      <c r="S116" s="295">
        <v>421739812</v>
      </c>
    </row>
    <row r="117" spans="1:19" ht="15.75" customHeight="1">
      <c r="A117" s="268"/>
      <c r="B117" s="268"/>
      <c r="C117" s="268"/>
      <c r="D117" s="150"/>
      <c r="E117" s="150"/>
      <c r="F117" s="150"/>
      <c r="G117" s="270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20" ht="15.75" customHeight="1">
      <c r="A118" s="279"/>
      <c r="B118" s="279"/>
      <c r="C118" s="280"/>
      <c r="D118" s="281"/>
      <c r="E118" s="281"/>
      <c r="F118" s="282"/>
      <c r="G118" s="283"/>
      <c r="H118" s="199"/>
      <c r="I118" s="199"/>
      <c r="J118" s="199"/>
      <c r="K118" s="199"/>
      <c r="M118" s="199"/>
      <c r="N118" s="199"/>
      <c r="R118" s="199"/>
      <c r="S118" s="199"/>
      <c r="T118" s="182"/>
    </row>
    <row r="119" spans="1:20" ht="15.75" customHeight="1">
      <c r="A119" s="284"/>
      <c r="B119" s="285"/>
      <c r="C119" s="285"/>
      <c r="D119" s="281"/>
      <c r="E119" s="282"/>
      <c r="F119" s="282"/>
      <c r="G119" s="286"/>
      <c r="H119" s="38"/>
      <c r="I119" s="66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182"/>
    </row>
    <row r="120" spans="1:20" ht="15.75" customHeight="1">
      <c r="A120" s="268"/>
      <c r="B120" s="268"/>
      <c r="C120" s="268"/>
      <c r="D120" s="150"/>
      <c r="E120" s="150"/>
      <c r="F120" s="150"/>
      <c r="G120" s="270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182"/>
    </row>
    <row r="121" spans="1:21" s="71" customFormat="1" ht="15.75" customHeight="1">
      <c r="A121" s="269"/>
      <c r="B121" s="269"/>
      <c r="C121" s="269"/>
      <c r="D121" s="150"/>
      <c r="E121" s="271"/>
      <c r="F121" s="271"/>
      <c r="G121" s="272"/>
      <c r="H121" s="230"/>
      <c r="I121" s="58"/>
      <c r="J121" s="230"/>
      <c r="K121" s="230"/>
      <c r="L121" s="58"/>
      <c r="M121" s="230"/>
      <c r="N121" s="230"/>
      <c r="O121" s="230"/>
      <c r="P121" s="230"/>
      <c r="Q121" s="230"/>
      <c r="R121" s="230"/>
      <c r="S121" s="230"/>
      <c r="T121" s="183"/>
      <c r="U121" s="71">
        <f>S121-T121</f>
        <v>0</v>
      </c>
    </row>
    <row r="122" spans="1:19" ht="15.75" customHeight="1">
      <c r="A122" s="268"/>
      <c r="B122" s="268"/>
      <c r="C122" s="268"/>
      <c r="D122" s="150"/>
      <c r="E122" s="150"/>
      <c r="F122" s="150"/>
      <c r="G122" s="270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ht="15.75" customHeight="1">
      <c r="A123" s="268"/>
      <c r="B123" s="268"/>
      <c r="C123" s="268"/>
      <c r="D123" s="150"/>
      <c r="E123" s="53"/>
      <c r="F123" s="53"/>
      <c r="G123" s="54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ht="15.75" customHeight="1">
      <c r="A124" s="268"/>
      <c r="B124" s="268"/>
      <c r="C124" s="268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5.75" customHeight="1">
      <c r="A125" s="268"/>
      <c r="B125" s="268"/>
      <c r="C125" s="268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1:19" ht="15.75" customHeight="1">
      <c r="A126" s="268"/>
      <c r="B126" s="268"/>
      <c r="C126" s="268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5.75" customHeight="1">
      <c r="A127" s="268"/>
      <c r="B127" s="268"/>
      <c r="C127" s="268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5.75" customHeight="1">
      <c r="A128" s="268"/>
      <c r="B128" s="268"/>
      <c r="C128" s="268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5.75" customHeight="1">
      <c r="A129" s="268"/>
      <c r="B129" s="268"/>
      <c r="C129" s="268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5.75" customHeight="1">
      <c r="A130" s="268"/>
      <c r="B130" s="268"/>
      <c r="C130" s="268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 ht="15.75" customHeight="1">
      <c r="A131" s="268"/>
      <c r="B131" s="268"/>
      <c r="C131" s="268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1:19" ht="15.75" customHeight="1">
      <c r="A132" s="268"/>
      <c r="B132" s="268"/>
      <c r="C132" s="268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1:19" ht="15.75" customHeight="1">
      <c r="A133" s="268"/>
      <c r="B133" s="268"/>
      <c r="C133" s="268"/>
      <c r="H133" s="38"/>
      <c r="I133" s="66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5.75" customHeight="1">
      <c r="A134" s="268"/>
      <c r="B134" s="268"/>
      <c r="C134" s="268"/>
      <c r="H134" s="38"/>
      <c r="I134" s="66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5.75" customHeight="1">
      <c r="A135" s="268"/>
      <c r="B135" s="268"/>
      <c r="C135" s="268"/>
      <c r="H135" s="38"/>
      <c r="I135" s="66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5.75" customHeight="1">
      <c r="A136" s="268"/>
      <c r="B136" s="268"/>
      <c r="C136" s="268"/>
      <c r="H136" s="38"/>
      <c r="I136" s="66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5.75" customHeight="1">
      <c r="A137" s="268"/>
      <c r="B137" s="268"/>
      <c r="C137" s="268"/>
      <c r="H137" s="38"/>
      <c r="I137" s="66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5.75" customHeight="1">
      <c r="A138" s="268"/>
      <c r="B138" s="268"/>
      <c r="C138" s="268"/>
      <c r="H138" s="38"/>
      <c r="I138" s="66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5.75" customHeight="1">
      <c r="A139" s="268"/>
      <c r="B139" s="268"/>
      <c r="C139" s="268"/>
      <c r="H139" s="38"/>
      <c r="I139" s="66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5.75" customHeight="1">
      <c r="A140" s="268"/>
      <c r="B140" s="268"/>
      <c r="C140" s="268"/>
      <c r="H140" s="38"/>
      <c r="I140" s="66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5.75" customHeight="1">
      <c r="A141" s="268"/>
      <c r="B141" s="268"/>
      <c r="C141" s="268"/>
      <c r="H141" s="38"/>
      <c r="I141" s="66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5.75" customHeight="1">
      <c r="A142" s="268"/>
      <c r="B142" s="268"/>
      <c r="C142" s="268"/>
      <c r="H142" s="38"/>
      <c r="I142" s="66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5.75" customHeight="1">
      <c r="A143" s="268"/>
      <c r="B143" s="268"/>
      <c r="C143" s="268"/>
      <c r="H143" s="38"/>
      <c r="I143" s="66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5.75" customHeight="1">
      <c r="A144" s="268"/>
      <c r="B144" s="268"/>
      <c r="C144" s="268"/>
      <c r="H144" s="38"/>
      <c r="I144" s="66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 customHeight="1">
      <c r="A145" s="268"/>
      <c r="B145" s="268"/>
      <c r="C145" s="268"/>
      <c r="H145" s="38"/>
      <c r="I145" s="66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5.75" customHeight="1">
      <c r="A146" s="268"/>
      <c r="B146" s="268"/>
      <c r="C146" s="268"/>
      <c r="H146" s="38"/>
      <c r="I146" s="66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5.75" customHeight="1">
      <c r="A147" s="268"/>
      <c r="B147" s="268"/>
      <c r="C147" s="268"/>
      <c r="H147" s="38"/>
      <c r="I147" s="66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8:19" ht="15.75" customHeight="1">
      <c r="H148" s="38"/>
      <c r="I148" s="66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8:19" ht="15.75" customHeight="1">
      <c r="H149" s="38"/>
      <c r="I149" s="66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8:19" ht="15.75" customHeight="1">
      <c r="H150" s="38"/>
      <c r="I150" s="66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</sheetData>
  <sheetProtection/>
  <mergeCells count="18">
    <mergeCell ref="R2:S2"/>
    <mergeCell ref="D7:D10"/>
    <mergeCell ref="O8:O10"/>
    <mergeCell ref="M7:R7"/>
    <mergeCell ref="E7:E10"/>
    <mergeCell ref="G7:G10"/>
    <mergeCell ref="L8:L10"/>
    <mergeCell ref="M8:M10"/>
    <mergeCell ref="F7:F10"/>
    <mergeCell ref="H8:H10"/>
    <mergeCell ref="P8:Q9"/>
    <mergeCell ref="J8:K9"/>
    <mergeCell ref="I8:I10"/>
    <mergeCell ref="R6:S6"/>
    <mergeCell ref="S7:S10"/>
    <mergeCell ref="R8:R10"/>
    <mergeCell ref="H7:L7"/>
    <mergeCell ref="N8:N10"/>
  </mergeCells>
  <conditionalFormatting sqref="F82 B48:C50 E48:F50 F40 F65:F66">
    <cfRule type="expression" priority="8" dxfId="1" stopIfTrue="1">
      <formula>LEN(B40)&gt;6</formula>
    </cfRule>
  </conditionalFormatting>
  <printOptions horizontalCentered="1"/>
  <pageMargins left="0.1968503937007874" right="0.1968503937007874" top="0.43" bottom="0.1968503937007874" header="0.31496062992125984" footer="0.2"/>
  <pageSetup firstPageNumber="1" useFirstPageNumber="1" fitToHeight="24" horizontalDpi="300" verticalDpi="300" orientation="landscape" paperSize="9" scale="51" r:id="rId1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53"/>
  <sheetViews>
    <sheetView showZeros="0" view="pageBreakPreview" zoomScale="55" zoomScaleNormal="55" zoomScaleSheetLayoutView="55" zoomScalePageLayoutView="0" workbookViewId="0" topLeftCell="A17">
      <selection activeCell="D28" sqref="D28"/>
    </sheetView>
  </sheetViews>
  <sheetFormatPr defaultColWidth="9.00390625" defaultRowHeight="12.75"/>
  <cols>
    <col min="1" max="1" width="17.00390625" style="3" customWidth="1"/>
    <col min="2" max="2" width="29.875" style="3" customWidth="1"/>
    <col min="3" max="3" width="19.25390625" style="29" customWidth="1"/>
    <col min="4" max="4" width="18.25390625" style="29" customWidth="1"/>
    <col min="5" max="5" width="22.00390625" style="29" customWidth="1"/>
    <col min="6" max="6" width="63.00390625" style="29" customWidth="1"/>
    <col min="7" max="7" width="26.75390625" style="29" customWidth="1"/>
    <col min="8" max="8" width="58.875" style="29" customWidth="1"/>
    <col min="9" max="9" width="51.625" style="29" customWidth="1"/>
    <col min="10" max="10" width="20.375" style="29" customWidth="1"/>
    <col min="11" max="11" width="19.625" style="29" customWidth="1"/>
    <col min="12" max="12" width="20.00390625" style="29" customWidth="1"/>
    <col min="13" max="13" width="21.875" style="29" customWidth="1"/>
    <col min="14" max="14" width="20.125" style="29" customWidth="1"/>
    <col min="15" max="15" width="22.25390625" style="29" customWidth="1"/>
    <col min="16" max="16" width="17.375" style="29" customWidth="1"/>
    <col min="17" max="17" width="18.125" style="29" customWidth="1"/>
    <col min="18" max="18" width="22.25390625" style="29" customWidth="1"/>
    <col min="19" max="19" width="19.75390625" style="29" customWidth="1"/>
    <col min="20" max="20" width="32.00390625" style="29" customWidth="1"/>
    <col min="21" max="21" width="18.75390625" style="29" customWidth="1"/>
    <col min="22" max="23" width="20.875" style="29" customWidth="1"/>
    <col min="24" max="24" width="20.875" style="3" customWidth="1"/>
    <col min="25" max="25" width="20.25390625" style="3" customWidth="1"/>
    <col min="26" max="26" width="20.125" style="3" customWidth="1"/>
    <col min="27" max="28" width="18.625" style="3" customWidth="1"/>
    <col min="29" max="29" width="15.75390625" style="29" customWidth="1"/>
    <col min="30" max="30" width="18.00390625" style="3" customWidth="1"/>
    <col min="31" max="31" width="17.625" style="3" customWidth="1"/>
    <col min="32" max="32" width="16.125" style="3" customWidth="1"/>
    <col min="33" max="33" width="19.375" style="601" customWidth="1"/>
    <col min="34" max="34" width="26.25390625" style="3" customWidth="1"/>
    <col min="35" max="35" width="29.625" style="3" customWidth="1"/>
    <col min="36" max="16384" width="9.125" style="3" customWidth="1"/>
  </cols>
  <sheetData>
    <row r="1" spans="3:35" ht="26.25" customHeight="1">
      <c r="C1" s="69"/>
      <c r="D1" s="69"/>
      <c r="E1" s="69"/>
      <c r="F1" s="69"/>
      <c r="G1" s="69"/>
      <c r="H1" s="69"/>
      <c r="I1" s="69"/>
      <c r="J1" s="69"/>
      <c r="K1" s="782" t="s">
        <v>306</v>
      </c>
      <c r="L1" s="782"/>
      <c r="M1" s="782"/>
      <c r="N1" s="69"/>
      <c r="O1" s="69"/>
      <c r="P1" s="69"/>
      <c r="Q1" s="69"/>
      <c r="R1" s="69"/>
      <c r="S1" s="69"/>
      <c r="T1" s="69"/>
      <c r="U1" s="69"/>
      <c r="V1" s="69"/>
      <c r="W1" s="69"/>
      <c r="X1" s="217"/>
      <c r="Y1" s="791"/>
      <c r="Z1" s="791"/>
      <c r="AA1" s="791"/>
      <c r="AB1" s="644"/>
      <c r="AC1" s="217"/>
      <c r="AD1" s="217"/>
      <c r="AE1" s="782" t="s">
        <v>802</v>
      </c>
      <c r="AF1" s="782"/>
      <c r="AG1" s="782"/>
      <c r="AH1" s="228"/>
      <c r="AI1" s="228"/>
    </row>
    <row r="2" spans="3:34" ht="29.25" customHeight="1">
      <c r="C2" s="215"/>
      <c r="D2" s="215"/>
      <c r="E2" s="215"/>
      <c r="F2" s="215"/>
      <c r="G2" s="215"/>
      <c r="H2" s="215"/>
      <c r="I2" s="215"/>
      <c r="J2" s="215"/>
      <c r="K2" s="783" t="s">
        <v>864</v>
      </c>
      <c r="L2" s="783"/>
      <c r="M2" s="783"/>
      <c r="N2" s="216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783"/>
      <c r="Z2" s="783"/>
      <c r="AA2" s="783"/>
      <c r="AB2" s="643"/>
      <c r="AC2" s="216"/>
      <c r="AD2" s="216"/>
      <c r="AE2" s="783" t="s">
        <v>864</v>
      </c>
      <c r="AF2" s="783"/>
      <c r="AG2" s="783"/>
      <c r="AH2" s="30"/>
    </row>
    <row r="3" spans="3:34" ht="19.5" customHeight="1">
      <c r="C3" s="136"/>
      <c r="D3" s="136"/>
      <c r="E3" s="136"/>
      <c r="F3" s="136"/>
      <c r="G3" s="136"/>
      <c r="H3" s="136"/>
      <c r="I3" s="136"/>
      <c r="J3" s="136"/>
      <c r="K3" s="784" t="s">
        <v>656</v>
      </c>
      <c r="L3" s="784"/>
      <c r="M3" s="784"/>
      <c r="N3" s="636"/>
      <c r="O3" s="136"/>
      <c r="P3" s="136"/>
      <c r="Q3" s="136"/>
      <c r="R3" s="136"/>
      <c r="S3" s="136"/>
      <c r="T3" s="136"/>
      <c r="U3" s="136"/>
      <c r="V3" s="136"/>
      <c r="W3" s="136"/>
      <c r="X3" s="137"/>
      <c r="Y3" s="137"/>
      <c r="Z3" s="137">
        <f>'Дод.1'!A3</f>
        <v>0</v>
      </c>
      <c r="AA3" s="137"/>
      <c r="AB3" s="137"/>
      <c r="AC3" s="137"/>
      <c r="AD3" s="137"/>
      <c r="AE3" s="784" t="s">
        <v>657</v>
      </c>
      <c r="AF3" s="784"/>
      <c r="AG3" s="784"/>
      <c r="AH3" s="30"/>
    </row>
    <row r="4" spans="3:34" ht="19.5" customHeight="1" hidden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30"/>
    </row>
    <row r="5" spans="1:35" ht="25.5" customHeight="1">
      <c r="A5" s="781" t="s">
        <v>305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646"/>
      <c r="AC5" s="231"/>
      <c r="AD5" s="231"/>
      <c r="AE5" s="231"/>
      <c r="AF5" s="231"/>
      <c r="AG5" s="593"/>
      <c r="AI5" s="35"/>
    </row>
    <row r="6" spans="24:35" ht="24" customHeight="1">
      <c r="X6" s="40"/>
      <c r="Y6" s="40"/>
      <c r="Z6" s="40"/>
      <c r="AA6" s="40"/>
      <c r="AB6" s="40"/>
      <c r="AG6" s="2" t="s">
        <v>302</v>
      </c>
      <c r="AH6" s="4"/>
      <c r="AI6" s="35"/>
    </row>
    <row r="7" spans="1:35" s="11" customFormat="1" ht="20.25" customHeight="1">
      <c r="A7" s="788" t="s">
        <v>669</v>
      </c>
      <c r="B7" s="785" t="s">
        <v>670</v>
      </c>
      <c r="C7" s="773" t="s">
        <v>665</v>
      </c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645"/>
      <c r="X7" s="776" t="s">
        <v>674</v>
      </c>
      <c r="Y7" s="777"/>
      <c r="Z7" s="777"/>
      <c r="AA7" s="777"/>
      <c r="AB7" s="777"/>
      <c r="AC7" s="777"/>
      <c r="AD7" s="777"/>
      <c r="AE7" s="777"/>
      <c r="AF7" s="780"/>
      <c r="AG7" s="762" t="s">
        <v>160</v>
      </c>
      <c r="AH7" s="31"/>
      <c r="AI7" s="36"/>
    </row>
    <row r="8" spans="1:35" s="11" customFormat="1" ht="64.5" customHeight="1">
      <c r="A8" s="789"/>
      <c r="B8" s="786"/>
      <c r="C8" s="774" t="s">
        <v>467</v>
      </c>
      <c r="D8" s="774"/>
      <c r="E8" s="775"/>
      <c r="F8" s="776" t="s">
        <v>673</v>
      </c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30" t="s">
        <v>160</v>
      </c>
      <c r="W8" s="776" t="s">
        <v>673</v>
      </c>
      <c r="X8" s="777"/>
      <c r="Y8" s="777"/>
      <c r="Z8" s="777"/>
      <c r="AA8" s="777"/>
      <c r="AB8" s="777"/>
      <c r="AC8" s="777"/>
      <c r="AD8" s="777"/>
      <c r="AE8" s="777"/>
      <c r="AF8" s="780"/>
      <c r="AG8" s="762"/>
      <c r="AH8" s="32"/>
      <c r="AI8" s="36"/>
    </row>
    <row r="9" spans="1:35" s="7" customFormat="1" ht="21" customHeight="1">
      <c r="A9" s="789"/>
      <c r="B9" s="786"/>
      <c r="C9" s="766" t="s">
        <v>667</v>
      </c>
      <c r="D9" s="766"/>
      <c r="E9" s="755" t="s">
        <v>160</v>
      </c>
      <c r="F9" s="756" t="s">
        <v>667</v>
      </c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8"/>
      <c r="T9" s="764" t="s">
        <v>666</v>
      </c>
      <c r="U9" s="765"/>
      <c r="V9" s="730"/>
      <c r="W9" s="739" t="s">
        <v>667</v>
      </c>
      <c r="X9" s="740"/>
      <c r="Y9" s="740"/>
      <c r="Z9" s="740"/>
      <c r="AA9" s="741"/>
      <c r="AB9" s="742" t="s">
        <v>666</v>
      </c>
      <c r="AC9" s="743"/>
      <c r="AD9" s="743"/>
      <c r="AE9" s="743"/>
      <c r="AF9" s="744"/>
      <c r="AG9" s="762"/>
      <c r="AH9" s="619"/>
      <c r="AI9" s="620"/>
    </row>
    <row r="10" spans="1:35" ht="20.25" customHeight="1">
      <c r="A10" s="789"/>
      <c r="B10" s="786"/>
      <c r="C10" s="745" t="s">
        <v>668</v>
      </c>
      <c r="D10" s="746"/>
      <c r="E10" s="755"/>
      <c r="F10" s="778" t="s">
        <v>668</v>
      </c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30"/>
      <c r="W10" s="654"/>
      <c r="X10" s="731" t="s">
        <v>668</v>
      </c>
      <c r="Y10" s="732"/>
      <c r="Z10" s="732"/>
      <c r="AA10" s="732"/>
      <c r="AB10" s="732"/>
      <c r="AC10" s="732"/>
      <c r="AD10" s="732"/>
      <c r="AE10" s="732"/>
      <c r="AF10" s="733"/>
      <c r="AG10" s="762"/>
      <c r="AH10" s="33"/>
      <c r="AI10" s="35"/>
    </row>
    <row r="11" spans="1:35" ht="33.75" customHeight="1">
      <c r="A11" s="789"/>
      <c r="B11" s="786"/>
      <c r="C11" s="759" t="s">
        <v>671</v>
      </c>
      <c r="D11" s="734" t="s">
        <v>471</v>
      </c>
      <c r="E11" s="755"/>
      <c r="F11" s="770" t="s">
        <v>785</v>
      </c>
      <c r="G11" s="767" t="s">
        <v>290</v>
      </c>
      <c r="H11" s="747" t="s">
        <v>787</v>
      </c>
      <c r="I11" s="747" t="s">
        <v>788</v>
      </c>
      <c r="J11" s="747" t="s">
        <v>398</v>
      </c>
      <c r="K11" s="763" t="s">
        <v>791</v>
      </c>
      <c r="L11" s="763"/>
      <c r="M11" s="747" t="s">
        <v>794</v>
      </c>
      <c r="N11" s="602" t="s">
        <v>791</v>
      </c>
      <c r="O11" s="747" t="s">
        <v>711</v>
      </c>
      <c r="P11" s="763" t="s">
        <v>789</v>
      </c>
      <c r="Q11" s="763"/>
      <c r="R11" s="747" t="s">
        <v>135</v>
      </c>
      <c r="S11" s="747" t="s">
        <v>734</v>
      </c>
      <c r="T11" s="747" t="s">
        <v>796</v>
      </c>
      <c r="U11" s="747" t="s">
        <v>734</v>
      </c>
      <c r="V11" s="730"/>
      <c r="W11" s="736" t="s">
        <v>745</v>
      </c>
      <c r="X11" s="734" t="s">
        <v>364</v>
      </c>
      <c r="Y11" s="734" t="s">
        <v>866</v>
      </c>
      <c r="Z11" s="734"/>
      <c r="AA11" s="734"/>
      <c r="AB11" s="684" t="s">
        <v>745</v>
      </c>
      <c r="AC11" s="734" t="s">
        <v>364</v>
      </c>
      <c r="AD11" s="734" t="s">
        <v>866</v>
      </c>
      <c r="AE11" s="734"/>
      <c r="AF11" s="734"/>
      <c r="AG11" s="762"/>
      <c r="AH11" s="33"/>
      <c r="AI11" s="35"/>
    </row>
    <row r="12" spans="1:35" ht="30" customHeight="1">
      <c r="A12" s="789"/>
      <c r="B12" s="786"/>
      <c r="C12" s="760"/>
      <c r="D12" s="734"/>
      <c r="E12" s="755"/>
      <c r="F12" s="771"/>
      <c r="G12" s="768"/>
      <c r="H12" s="748"/>
      <c r="I12" s="748"/>
      <c r="J12" s="748"/>
      <c r="K12" s="748" t="s">
        <v>792</v>
      </c>
      <c r="L12" s="748" t="s">
        <v>793</v>
      </c>
      <c r="M12" s="748"/>
      <c r="N12" s="748" t="s">
        <v>795</v>
      </c>
      <c r="O12" s="748"/>
      <c r="P12" s="763" t="s">
        <v>675</v>
      </c>
      <c r="Q12" s="763" t="s">
        <v>790</v>
      </c>
      <c r="R12" s="748"/>
      <c r="S12" s="748"/>
      <c r="T12" s="748"/>
      <c r="U12" s="748"/>
      <c r="V12" s="730"/>
      <c r="W12" s="737"/>
      <c r="X12" s="734"/>
      <c r="Y12" s="734" t="s">
        <v>34</v>
      </c>
      <c r="Z12" s="691" t="s">
        <v>857</v>
      </c>
      <c r="AA12" s="752"/>
      <c r="AB12" s="735"/>
      <c r="AC12" s="734"/>
      <c r="AD12" s="684" t="s">
        <v>440</v>
      </c>
      <c r="AE12" s="691" t="s">
        <v>857</v>
      </c>
      <c r="AF12" s="692"/>
      <c r="AG12" s="762"/>
      <c r="AH12" s="33"/>
      <c r="AI12" s="35"/>
    </row>
    <row r="13" spans="1:35" s="10" customFormat="1" ht="167.25" customHeight="1">
      <c r="A13" s="790"/>
      <c r="B13" s="787"/>
      <c r="C13" s="761"/>
      <c r="D13" s="734"/>
      <c r="E13" s="755"/>
      <c r="F13" s="772"/>
      <c r="G13" s="769"/>
      <c r="H13" s="749"/>
      <c r="I13" s="749"/>
      <c r="J13" s="749"/>
      <c r="K13" s="749"/>
      <c r="L13" s="749"/>
      <c r="M13" s="749"/>
      <c r="N13" s="749"/>
      <c r="O13" s="749"/>
      <c r="P13" s="763"/>
      <c r="Q13" s="763"/>
      <c r="R13" s="749"/>
      <c r="S13" s="749"/>
      <c r="T13" s="749"/>
      <c r="U13" s="749"/>
      <c r="V13" s="730"/>
      <c r="W13" s="738"/>
      <c r="X13" s="734"/>
      <c r="Y13" s="734"/>
      <c r="Z13" s="591" t="s">
        <v>152</v>
      </c>
      <c r="AA13" s="592" t="s">
        <v>865</v>
      </c>
      <c r="AB13" s="729"/>
      <c r="AC13" s="734"/>
      <c r="AD13" s="729"/>
      <c r="AE13" s="590" t="s">
        <v>867</v>
      </c>
      <c r="AF13" s="590" t="s">
        <v>868</v>
      </c>
      <c r="AG13" s="762"/>
      <c r="AH13" s="33"/>
      <c r="AI13" s="37"/>
    </row>
    <row r="14" spans="1:35" s="634" customFormat="1" ht="22.5" customHeight="1">
      <c r="A14" s="621">
        <v>1</v>
      </c>
      <c r="B14" s="622">
        <v>2</v>
      </c>
      <c r="C14" s="623">
        <v>3</v>
      </c>
      <c r="D14" s="623">
        <v>4</v>
      </c>
      <c r="E14" s="624">
        <v>5</v>
      </c>
      <c r="F14" s="625">
        <v>6</v>
      </c>
      <c r="G14" s="626">
        <v>7</v>
      </c>
      <c r="H14" s="623">
        <v>8</v>
      </c>
      <c r="I14" s="623">
        <v>9</v>
      </c>
      <c r="J14" s="623">
        <v>10</v>
      </c>
      <c r="K14" s="623">
        <v>11</v>
      </c>
      <c r="L14" s="623">
        <v>12</v>
      </c>
      <c r="M14" s="623">
        <v>13</v>
      </c>
      <c r="N14" s="623">
        <v>14</v>
      </c>
      <c r="O14" s="623">
        <v>15</v>
      </c>
      <c r="P14" s="623">
        <v>16</v>
      </c>
      <c r="Q14" s="623">
        <v>17</v>
      </c>
      <c r="R14" s="623">
        <v>18</v>
      </c>
      <c r="S14" s="623">
        <v>19</v>
      </c>
      <c r="T14" s="623">
        <v>20</v>
      </c>
      <c r="U14" s="623">
        <v>21</v>
      </c>
      <c r="V14" s="627">
        <v>22</v>
      </c>
      <c r="W14" s="655">
        <v>23</v>
      </c>
      <c r="X14" s="623">
        <v>24</v>
      </c>
      <c r="Y14" s="623">
        <v>25</v>
      </c>
      <c r="Z14" s="628">
        <v>26</v>
      </c>
      <c r="AA14" s="629">
        <v>27</v>
      </c>
      <c r="AB14" s="629">
        <v>28</v>
      </c>
      <c r="AC14" s="630">
        <v>29</v>
      </c>
      <c r="AD14" s="630">
        <v>30</v>
      </c>
      <c r="AE14" s="630">
        <v>31</v>
      </c>
      <c r="AF14" s="630">
        <v>32</v>
      </c>
      <c r="AG14" s="631">
        <v>33</v>
      </c>
      <c r="AH14" s="632"/>
      <c r="AI14" s="633"/>
    </row>
    <row r="15" spans="1:35" s="20" customFormat="1" ht="38.25" customHeight="1">
      <c r="A15" s="578" t="s">
        <v>83</v>
      </c>
      <c r="B15" s="613" t="s">
        <v>819</v>
      </c>
      <c r="C15" s="434"/>
      <c r="D15" s="434"/>
      <c r="E15" s="603">
        <f>SUM(C15:D15)</f>
        <v>0</v>
      </c>
      <c r="F15" s="604"/>
      <c r="G15" s="605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606">
        <f>E15+F15+G15+H15+I15+J15+M15+O15+R15+S15+T15+U15</f>
        <v>0</v>
      </c>
      <c r="W15" s="656"/>
      <c r="X15" s="434">
        <f>Y15</f>
        <v>3962023</v>
      </c>
      <c r="Y15" s="434">
        <f>Z15+AA15</f>
        <v>3962023</v>
      </c>
      <c r="Z15" s="434">
        <v>3166774</v>
      </c>
      <c r="AA15" s="434">
        <v>795249</v>
      </c>
      <c r="AB15" s="434"/>
      <c r="AC15" s="434">
        <f>AD15</f>
        <v>0</v>
      </c>
      <c r="AD15" s="434">
        <f>AE15+AF15</f>
        <v>0</v>
      </c>
      <c r="AE15" s="434"/>
      <c r="AF15" s="434"/>
      <c r="AG15" s="606">
        <f aca="true" t="shared" si="0" ref="AG15:AG34">X15+AC15</f>
        <v>3962023</v>
      </c>
      <c r="AH15" s="49"/>
      <c r="AI15" s="50"/>
    </row>
    <row r="16" spans="1:35" s="20" customFormat="1" ht="36.75" customHeight="1">
      <c r="A16" s="578" t="s">
        <v>84</v>
      </c>
      <c r="B16" s="613" t="s">
        <v>820</v>
      </c>
      <c r="C16" s="434"/>
      <c r="D16" s="434"/>
      <c r="E16" s="603">
        <f aca="true" t="shared" si="1" ref="E16:E41">SUM(C16:D16)</f>
        <v>0</v>
      </c>
      <c r="F16" s="604"/>
      <c r="G16" s="605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>
        <f>'Дод.1.1'!D59</f>
        <v>30547</v>
      </c>
      <c r="T16" s="434"/>
      <c r="U16" s="434"/>
      <c r="V16" s="606">
        <f aca="true" t="shared" si="2" ref="V16:V41">E16+F16+G16+H16+I16+J16+M16+O16+R16+S16+T16+U16</f>
        <v>30547</v>
      </c>
      <c r="W16" s="656"/>
      <c r="X16" s="434">
        <f aca="true" t="shared" si="3" ref="X16:X39">Y16</f>
        <v>713847</v>
      </c>
      <c r="Y16" s="434">
        <f aca="true" t="shared" si="4" ref="Y16:Y41">Z16+AA16</f>
        <v>713847</v>
      </c>
      <c r="Z16" s="434">
        <v>406579</v>
      </c>
      <c r="AA16" s="434">
        <v>307268</v>
      </c>
      <c r="AB16" s="434"/>
      <c r="AC16" s="434">
        <f aca="true" t="shared" si="5" ref="AC16:AC41">AD16</f>
        <v>0</v>
      </c>
      <c r="AD16" s="434">
        <f aca="true" t="shared" si="6" ref="AD16:AD41">AE16+AF16</f>
        <v>0</v>
      </c>
      <c r="AE16" s="434"/>
      <c r="AF16" s="434"/>
      <c r="AG16" s="606">
        <f t="shared" si="0"/>
        <v>713847</v>
      </c>
      <c r="AH16" s="49"/>
      <c r="AI16" s="50"/>
    </row>
    <row r="17" spans="1:35" s="20" customFormat="1" ht="36.75" customHeight="1">
      <c r="A17" s="578" t="s">
        <v>85</v>
      </c>
      <c r="B17" s="613" t="s">
        <v>821</v>
      </c>
      <c r="C17" s="434"/>
      <c r="D17" s="434"/>
      <c r="E17" s="603">
        <f t="shared" si="1"/>
        <v>0</v>
      </c>
      <c r="F17" s="604"/>
      <c r="G17" s="605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>
        <f>'Дод.1.1'!D63</f>
        <v>10000</v>
      </c>
      <c r="T17" s="434"/>
      <c r="U17" s="434"/>
      <c r="V17" s="606">
        <f t="shared" si="2"/>
        <v>10000</v>
      </c>
      <c r="W17" s="656"/>
      <c r="X17" s="434">
        <f t="shared" si="3"/>
        <v>696884</v>
      </c>
      <c r="Y17" s="434">
        <f t="shared" si="4"/>
        <v>696884</v>
      </c>
      <c r="Z17" s="434">
        <v>200325</v>
      </c>
      <c r="AA17" s="434">
        <v>496559</v>
      </c>
      <c r="AB17" s="434"/>
      <c r="AC17" s="434">
        <f t="shared" si="5"/>
        <v>0</v>
      </c>
      <c r="AD17" s="434">
        <f t="shared" si="6"/>
        <v>0</v>
      </c>
      <c r="AE17" s="434"/>
      <c r="AF17" s="434"/>
      <c r="AG17" s="606">
        <f t="shared" si="0"/>
        <v>696884</v>
      </c>
      <c r="AH17" s="49"/>
      <c r="AI17" s="50"/>
    </row>
    <row r="18" spans="1:35" s="20" customFormat="1" ht="42" customHeight="1">
      <c r="A18" s="578" t="s">
        <v>86</v>
      </c>
      <c r="B18" s="613" t="s">
        <v>822</v>
      </c>
      <c r="C18" s="434"/>
      <c r="D18" s="434"/>
      <c r="E18" s="603">
        <f t="shared" si="1"/>
        <v>0</v>
      </c>
      <c r="F18" s="604"/>
      <c r="G18" s="605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606">
        <f t="shared" si="2"/>
        <v>0</v>
      </c>
      <c r="W18" s="656"/>
      <c r="X18" s="434">
        <f t="shared" si="3"/>
        <v>3575277</v>
      </c>
      <c r="Y18" s="434">
        <f t="shared" si="4"/>
        <v>3575277</v>
      </c>
      <c r="Z18" s="434">
        <v>2686712</v>
      </c>
      <c r="AA18" s="434">
        <v>888565</v>
      </c>
      <c r="AB18" s="434"/>
      <c r="AC18" s="434">
        <f t="shared" si="5"/>
        <v>50000</v>
      </c>
      <c r="AD18" s="434">
        <f t="shared" si="6"/>
        <v>50000</v>
      </c>
      <c r="AE18" s="434">
        <v>50000</v>
      </c>
      <c r="AF18" s="434"/>
      <c r="AG18" s="606">
        <f t="shared" si="0"/>
        <v>3625277</v>
      </c>
      <c r="AH18" s="49"/>
      <c r="AI18" s="50"/>
    </row>
    <row r="19" spans="1:35" s="20" customFormat="1" ht="42.75" customHeight="1">
      <c r="A19" s="578" t="s">
        <v>87</v>
      </c>
      <c r="B19" s="613" t="s">
        <v>823</v>
      </c>
      <c r="C19" s="434"/>
      <c r="D19" s="434"/>
      <c r="E19" s="603">
        <f t="shared" si="1"/>
        <v>0</v>
      </c>
      <c r="F19" s="604"/>
      <c r="G19" s="605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606">
        <f t="shared" si="2"/>
        <v>0</v>
      </c>
      <c r="W19" s="656"/>
      <c r="X19" s="434">
        <f t="shared" si="3"/>
        <v>340958</v>
      </c>
      <c r="Y19" s="434">
        <f t="shared" si="4"/>
        <v>340958</v>
      </c>
      <c r="Z19" s="434">
        <v>117994</v>
      </c>
      <c r="AA19" s="434">
        <v>222964</v>
      </c>
      <c r="AB19" s="434"/>
      <c r="AC19" s="434">
        <f t="shared" si="5"/>
        <v>0</v>
      </c>
      <c r="AD19" s="434">
        <f t="shared" si="6"/>
        <v>0</v>
      </c>
      <c r="AE19" s="434"/>
      <c r="AF19" s="434"/>
      <c r="AG19" s="606">
        <f t="shared" si="0"/>
        <v>340958</v>
      </c>
      <c r="AH19" s="49"/>
      <c r="AI19" s="50"/>
    </row>
    <row r="20" spans="1:35" s="20" customFormat="1" ht="60.75" customHeight="1">
      <c r="A20" s="578" t="s">
        <v>88</v>
      </c>
      <c r="B20" s="613" t="s">
        <v>873</v>
      </c>
      <c r="C20" s="434"/>
      <c r="D20" s="434">
        <f>158631+8668+144667</f>
        <v>311966</v>
      </c>
      <c r="E20" s="603">
        <f t="shared" si="1"/>
        <v>311966</v>
      </c>
      <c r="F20" s="604"/>
      <c r="G20" s="605"/>
      <c r="H20" s="434"/>
      <c r="I20" s="434"/>
      <c r="J20" s="434"/>
      <c r="K20" s="434"/>
      <c r="L20" s="434"/>
      <c r="M20" s="434"/>
      <c r="N20" s="434"/>
      <c r="O20" s="434">
        <f>2451049+286151+5812</f>
        <v>2743012</v>
      </c>
      <c r="P20" s="434">
        <v>5812</v>
      </c>
      <c r="Q20" s="434"/>
      <c r="R20" s="434"/>
      <c r="S20" s="434">
        <f>'Дод.1.1'!D84</f>
        <v>663676</v>
      </c>
      <c r="T20" s="434"/>
      <c r="U20" s="434"/>
      <c r="V20" s="606">
        <f t="shared" si="2"/>
        <v>3718654</v>
      </c>
      <c r="W20" s="656"/>
      <c r="X20" s="434">
        <f t="shared" si="3"/>
        <v>0</v>
      </c>
      <c r="Y20" s="434">
        <f t="shared" si="4"/>
        <v>0</v>
      </c>
      <c r="Z20" s="434"/>
      <c r="AA20" s="434"/>
      <c r="AB20" s="434"/>
      <c r="AC20" s="434">
        <f t="shared" si="5"/>
        <v>0</v>
      </c>
      <c r="AD20" s="434">
        <f t="shared" si="6"/>
        <v>0</v>
      </c>
      <c r="AE20" s="434"/>
      <c r="AF20" s="434"/>
      <c r="AG20" s="606">
        <f t="shared" si="0"/>
        <v>0</v>
      </c>
      <c r="AH20" s="49"/>
      <c r="AI20" s="50"/>
    </row>
    <row r="21" spans="1:35" s="20" customFormat="1" ht="37.5" customHeight="1">
      <c r="A21" s="578" t="s">
        <v>697</v>
      </c>
      <c r="B21" s="613" t="s">
        <v>824</v>
      </c>
      <c r="C21" s="434"/>
      <c r="D21" s="434"/>
      <c r="E21" s="603">
        <f t="shared" si="1"/>
        <v>0</v>
      </c>
      <c r="F21" s="604"/>
      <c r="G21" s="605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606">
        <f t="shared" si="2"/>
        <v>0</v>
      </c>
      <c r="W21" s="656"/>
      <c r="X21" s="434">
        <f t="shared" si="3"/>
        <v>262438</v>
      </c>
      <c r="Y21" s="434">
        <f t="shared" si="4"/>
        <v>262438</v>
      </c>
      <c r="Z21" s="434">
        <v>174284</v>
      </c>
      <c r="AA21" s="434">
        <v>88154</v>
      </c>
      <c r="AB21" s="434"/>
      <c r="AC21" s="434">
        <f t="shared" si="5"/>
        <v>0</v>
      </c>
      <c r="AD21" s="434">
        <f t="shared" si="6"/>
        <v>0</v>
      </c>
      <c r="AE21" s="434"/>
      <c r="AF21" s="434"/>
      <c r="AG21" s="606">
        <f t="shared" si="0"/>
        <v>262438</v>
      </c>
      <c r="AH21" s="49"/>
      <c r="AI21" s="50"/>
    </row>
    <row r="22" spans="1:35" s="20" customFormat="1" ht="36.75" customHeight="1">
      <c r="A22" s="578" t="s">
        <v>698</v>
      </c>
      <c r="B22" s="613" t="s">
        <v>825</v>
      </c>
      <c r="C22" s="434"/>
      <c r="D22" s="434"/>
      <c r="E22" s="603">
        <f t="shared" si="1"/>
        <v>0</v>
      </c>
      <c r="F22" s="604"/>
      <c r="G22" s="605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606">
        <f t="shared" si="2"/>
        <v>0</v>
      </c>
      <c r="W22" s="656"/>
      <c r="X22" s="434">
        <f>Y22+75396</f>
        <v>290984</v>
      </c>
      <c r="Y22" s="434">
        <f t="shared" si="4"/>
        <v>215588</v>
      </c>
      <c r="Z22" s="434">
        <v>133631</v>
      </c>
      <c r="AA22" s="434">
        <v>81957</v>
      </c>
      <c r="AB22" s="434"/>
      <c r="AC22" s="434"/>
      <c r="AD22" s="434">
        <f t="shared" si="6"/>
        <v>0</v>
      </c>
      <c r="AE22" s="434"/>
      <c r="AF22" s="434"/>
      <c r="AG22" s="606">
        <f t="shared" si="0"/>
        <v>290984</v>
      </c>
      <c r="AH22" s="49"/>
      <c r="AI22" s="50"/>
    </row>
    <row r="23" spans="1:35" s="20" customFormat="1" ht="37.5" customHeight="1">
      <c r="A23" s="578" t="s">
        <v>699</v>
      </c>
      <c r="B23" s="613" t="s">
        <v>826</v>
      </c>
      <c r="C23" s="434"/>
      <c r="D23" s="434"/>
      <c r="E23" s="603">
        <f t="shared" si="1"/>
        <v>0</v>
      </c>
      <c r="F23" s="604"/>
      <c r="G23" s="605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606">
        <f t="shared" si="2"/>
        <v>0</v>
      </c>
      <c r="W23" s="656"/>
      <c r="X23" s="434">
        <f t="shared" si="3"/>
        <v>780912</v>
      </c>
      <c r="Y23" s="434">
        <f t="shared" si="4"/>
        <v>780912</v>
      </c>
      <c r="Z23" s="434">
        <v>329467</v>
      </c>
      <c r="AA23" s="434">
        <v>451445</v>
      </c>
      <c r="AB23" s="434"/>
      <c r="AC23" s="434">
        <f>AD23+50000</f>
        <v>200000</v>
      </c>
      <c r="AD23" s="434">
        <f t="shared" si="6"/>
        <v>150000</v>
      </c>
      <c r="AE23" s="434"/>
      <c r="AF23" s="434">
        <v>150000</v>
      </c>
      <c r="AG23" s="606">
        <f t="shared" si="0"/>
        <v>980912</v>
      </c>
      <c r="AH23" s="49"/>
      <c r="AI23" s="50"/>
    </row>
    <row r="24" spans="1:35" s="20" customFormat="1" ht="40.5" customHeight="1">
      <c r="A24" s="578" t="s">
        <v>700</v>
      </c>
      <c r="B24" s="613" t="s">
        <v>827</v>
      </c>
      <c r="C24" s="434"/>
      <c r="D24" s="434"/>
      <c r="E24" s="603">
        <f t="shared" si="1"/>
        <v>0</v>
      </c>
      <c r="F24" s="604"/>
      <c r="G24" s="605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606">
        <f t="shared" si="2"/>
        <v>0</v>
      </c>
      <c r="W24" s="656"/>
      <c r="X24" s="434">
        <f t="shared" si="3"/>
        <v>535450</v>
      </c>
      <c r="Y24" s="434">
        <f t="shared" si="4"/>
        <v>535450</v>
      </c>
      <c r="Z24" s="434">
        <v>125029</v>
      </c>
      <c r="AA24" s="434">
        <v>410421</v>
      </c>
      <c r="AB24" s="434"/>
      <c r="AC24" s="434">
        <f t="shared" si="5"/>
        <v>0</v>
      </c>
      <c r="AD24" s="434">
        <f t="shared" si="6"/>
        <v>0</v>
      </c>
      <c r="AE24" s="434"/>
      <c r="AF24" s="434"/>
      <c r="AG24" s="606">
        <f t="shared" si="0"/>
        <v>535450</v>
      </c>
      <c r="AH24" s="49"/>
      <c r="AI24" s="50"/>
    </row>
    <row r="25" spans="1:35" s="20" customFormat="1" ht="40.5" customHeight="1">
      <c r="A25" s="578" t="s">
        <v>701</v>
      </c>
      <c r="B25" s="613" t="s">
        <v>828</v>
      </c>
      <c r="C25" s="434"/>
      <c r="D25" s="434"/>
      <c r="E25" s="603">
        <f t="shared" si="1"/>
        <v>0</v>
      </c>
      <c r="F25" s="604"/>
      <c r="G25" s="605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606">
        <f t="shared" si="2"/>
        <v>0</v>
      </c>
      <c r="W25" s="656"/>
      <c r="X25" s="434">
        <f t="shared" si="3"/>
        <v>2933858</v>
      </c>
      <c r="Y25" s="434">
        <f t="shared" si="4"/>
        <v>2933858</v>
      </c>
      <c r="Z25" s="434">
        <v>2283807</v>
      </c>
      <c r="AA25" s="434">
        <v>650051</v>
      </c>
      <c r="AB25" s="434"/>
      <c r="AC25" s="434">
        <f t="shared" si="5"/>
        <v>0</v>
      </c>
      <c r="AD25" s="434">
        <f t="shared" si="6"/>
        <v>0</v>
      </c>
      <c r="AE25" s="434"/>
      <c r="AF25" s="434"/>
      <c r="AG25" s="606">
        <f t="shared" si="0"/>
        <v>2933858</v>
      </c>
      <c r="AH25" s="49"/>
      <c r="AI25" s="50"/>
    </row>
    <row r="26" spans="1:35" s="20" customFormat="1" ht="39" customHeight="1">
      <c r="A26" s="578" t="s">
        <v>702</v>
      </c>
      <c r="B26" s="613" t="s">
        <v>829</v>
      </c>
      <c r="C26" s="579"/>
      <c r="D26" s="579"/>
      <c r="E26" s="603">
        <f t="shared" si="1"/>
        <v>0</v>
      </c>
      <c r="F26" s="604"/>
      <c r="G26" s="605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606">
        <f t="shared" si="2"/>
        <v>0</v>
      </c>
      <c r="W26" s="656"/>
      <c r="X26" s="434">
        <f t="shared" si="3"/>
        <v>311764</v>
      </c>
      <c r="Y26" s="434">
        <f t="shared" si="4"/>
        <v>311764</v>
      </c>
      <c r="Z26" s="434">
        <v>93336</v>
      </c>
      <c r="AA26" s="434">
        <v>218428</v>
      </c>
      <c r="AB26" s="434"/>
      <c r="AC26" s="434">
        <f t="shared" si="5"/>
        <v>0</v>
      </c>
      <c r="AD26" s="434">
        <f t="shared" si="6"/>
        <v>0</v>
      </c>
      <c r="AE26" s="434"/>
      <c r="AF26" s="434"/>
      <c r="AG26" s="606">
        <f t="shared" si="0"/>
        <v>311764</v>
      </c>
      <c r="AH26" s="49"/>
      <c r="AI26" s="50"/>
    </row>
    <row r="27" spans="1:35" s="20" customFormat="1" ht="39" customHeight="1">
      <c r="A27" s="578" t="s">
        <v>505</v>
      </c>
      <c r="B27" s="613" t="s">
        <v>830</v>
      </c>
      <c r="C27" s="434"/>
      <c r="D27" s="434"/>
      <c r="E27" s="603">
        <f t="shared" si="1"/>
        <v>0</v>
      </c>
      <c r="F27" s="604"/>
      <c r="G27" s="605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>
        <f>'Дод.1.1'!D126</f>
        <v>36000</v>
      </c>
      <c r="T27" s="434"/>
      <c r="U27" s="434"/>
      <c r="V27" s="606">
        <f t="shared" si="2"/>
        <v>36000</v>
      </c>
      <c r="W27" s="656"/>
      <c r="X27" s="434">
        <f t="shared" si="3"/>
        <v>379884</v>
      </c>
      <c r="Y27" s="434">
        <f t="shared" si="4"/>
        <v>379884</v>
      </c>
      <c r="Z27" s="434">
        <v>144580</v>
      </c>
      <c r="AA27" s="434">
        <v>235304</v>
      </c>
      <c r="AB27" s="434"/>
      <c r="AC27" s="434">
        <f t="shared" si="5"/>
        <v>0</v>
      </c>
      <c r="AD27" s="434">
        <f t="shared" si="6"/>
        <v>0</v>
      </c>
      <c r="AE27" s="434"/>
      <c r="AF27" s="434"/>
      <c r="AG27" s="606">
        <f t="shared" si="0"/>
        <v>379884</v>
      </c>
      <c r="AH27" s="49"/>
      <c r="AI27" s="50"/>
    </row>
    <row r="28" spans="1:35" s="20" customFormat="1" ht="60" customHeight="1">
      <c r="A28" s="578" t="s">
        <v>506</v>
      </c>
      <c r="B28" s="613" t="s">
        <v>0</v>
      </c>
      <c r="C28" s="434"/>
      <c r="D28" s="434">
        <f>14328+99187</f>
        <v>113515</v>
      </c>
      <c r="E28" s="603">
        <f t="shared" si="1"/>
        <v>113515</v>
      </c>
      <c r="F28" s="604"/>
      <c r="G28" s="605"/>
      <c r="H28" s="434"/>
      <c r="I28" s="434"/>
      <c r="J28" s="434"/>
      <c r="K28" s="434"/>
      <c r="L28" s="434"/>
      <c r="M28" s="434"/>
      <c r="N28" s="434"/>
      <c r="O28" s="434">
        <f>1923028+344687+2900</f>
        <v>2270615</v>
      </c>
      <c r="P28" s="434">
        <v>2900</v>
      </c>
      <c r="Q28" s="434"/>
      <c r="R28" s="434"/>
      <c r="S28" s="434">
        <f>'Дод.1.1'!D157</f>
        <v>960534</v>
      </c>
      <c r="T28" s="434"/>
      <c r="U28" s="434"/>
      <c r="V28" s="606">
        <f t="shared" si="2"/>
        <v>3344664</v>
      </c>
      <c r="W28" s="656"/>
      <c r="X28" s="434">
        <f t="shared" si="3"/>
        <v>0</v>
      </c>
      <c r="Y28" s="434">
        <f t="shared" si="4"/>
        <v>0</v>
      </c>
      <c r="Z28" s="434"/>
      <c r="AA28" s="434"/>
      <c r="AB28" s="434"/>
      <c r="AC28" s="434">
        <f t="shared" si="5"/>
        <v>0</v>
      </c>
      <c r="AD28" s="434">
        <f t="shared" si="6"/>
        <v>0</v>
      </c>
      <c r="AE28" s="434"/>
      <c r="AF28" s="434"/>
      <c r="AG28" s="606">
        <f t="shared" si="0"/>
        <v>0</v>
      </c>
      <c r="AH28" s="49"/>
      <c r="AI28" s="50"/>
    </row>
    <row r="29" spans="1:35" s="20" customFormat="1" ht="60.75" customHeight="1">
      <c r="A29" s="578" t="s">
        <v>507</v>
      </c>
      <c r="B29" s="613" t="s">
        <v>831</v>
      </c>
      <c r="C29" s="434"/>
      <c r="D29" s="434"/>
      <c r="E29" s="603">
        <f t="shared" si="1"/>
        <v>0</v>
      </c>
      <c r="F29" s="604"/>
      <c r="G29" s="605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606">
        <f t="shared" si="2"/>
        <v>0</v>
      </c>
      <c r="W29" s="656"/>
      <c r="X29" s="434">
        <f t="shared" si="3"/>
        <v>282522</v>
      </c>
      <c r="Y29" s="434">
        <f t="shared" si="4"/>
        <v>282522</v>
      </c>
      <c r="Z29" s="434">
        <v>83531</v>
      </c>
      <c r="AA29" s="434">
        <v>198991</v>
      </c>
      <c r="AB29" s="434"/>
      <c r="AC29" s="434">
        <f t="shared" si="5"/>
        <v>0</v>
      </c>
      <c r="AD29" s="434">
        <f t="shared" si="6"/>
        <v>0</v>
      </c>
      <c r="AE29" s="434"/>
      <c r="AF29" s="434"/>
      <c r="AG29" s="606">
        <f t="shared" si="0"/>
        <v>282522</v>
      </c>
      <c r="AH29" s="49"/>
      <c r="AI29" s="50"/>
    </row>
    <row r="30" spans="1:35" s="20" customFormat="1" ht="39.75" customHeight="1">
      <c r="A30" s="578" t="s">
        <v>508</v>
      </c>
      <c r="B30" s="613" t="s">
        <v>832</v>
      </c>
      <c r="C30" s="434"/>
      <c r="D30" s="434"/>
      <c r="E30" s="603">
        <f t="shared" si="1"/>
        <v>0</v>
      </c>
      <c r="F30" s="604"/>
      <c r="G30" s="605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>
        <f>'Дод.1.1'!D182</f>
        <v>41500</v>
      </c>
      <c r="T30" s="434"/>
      <c r="U30" s="434">
        <f>'Дод.1.1'!E180</f>
        <v>7350</v>
      </c>
      <c r="V30" s="606">
        <f t="shared" si="2"/>
        <v>48850</v>
      </c>
      <c r="W30" s="656"/>
      <c r="X30" s="434">
        <f t="shared" si="3"/>
        <v>2003603</v>
      </c>
      <c r="Y30" s="434">
        <f t="shared" si="4"/>
        <v>2003603</v>
      </c>
      <c r="Z30" s="434">
        <v>1806919</v>
      </c>
      <c r="AA30" s="434">
        <v>196684</v>
      </c>
      <c r="AB30" s="434"/>
      <c r="AC30" s="434">
        <f t="shared" si="5"/>
        <v>150000</v>
      </c>
      <c r="AD30" s="434">
        <f t="shared" si="6"/>
        <v>150000</v>
      </c>
      <c r="AE30" s="434"/>
      <c r="AF30" s="434">
        <v>150000</v>
      </c>
      <c r="AG30" s="606">
        <f t="shared" si="0"/>
        <v>2153603</v>
      </c>
      <c r="AH30" s="49"/>
      <c r="AI30" s="50"/>
    </row>
    <row r="31" spans="1:35" s="20" customFormat="1" ht="40.5" customHeight="1">
      <c r="A31" s="578" t="s">
        <v>509</v>
      </c>
      <c r="B31" s="613" t="s">
        <v>833</v>
      </c>
      <c r="C31" s="434"/>
      <c r="D31" s="434"/>
      <c r="E31" s="603">
        <f t="shared" si="1"/>
        <v>0</v>
      </c>
      <c r="F31" s="604"/>
      <c r="G31" s="605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>
        <f>'Дод.1.1'!D170</f>
        <v>2400</v>
      </c>
      <c r="T31" s="434"/>
      <c r="U31" s="434"/>
      <c r="V31" s="606">
        <f t="shared" si="2"/>
        <v>2400</v>
      </c>
      <c r="W31" s="656"/>
      <c r="X31" s="434">
        <f t="shared" si="3"/>
        <v>2824242</v>
      </c>
      <c r="Y31" s="434">
        <f t="shared" si="4"/>
        <v>2824242</v>
      </c>
      <c r="Z31" s="434">
        <v>2349354</v>
      </c>
      <c r="AA31" s="434">
        <v>474888</v>
      </c>
      <c r="AB31" s="434"/>
      <c r="AC31" s="434">
        <f t="shared" si="5"/>
        <v>0</v>
      </c>
      <c r="AD31" s="434">
        <f t="shared" si="6"/>
        <v>0</v>
      </c>
      <c r="AE31" s="434"/>
      <c r="AF31" s="434"/>
      <c r="AG31" s="606">
        <f t="shared" si="0"/>
        <v>2824242</v>
      </c>
      <c r="AH31" s="49"/>
      <c r="AI31" s="50"/>
    </row>
    <row r="32" spans="1:35" s="20" customFormat="1" ht="57.75" customHeight="1">
      <c r="A32" s="578" t="s">
        <v>510</v>
      </c>
      <c r="B32" s="613" t="s">
        <v>1</v>
      </c>
      <c r="C32" s="434"/>
      <c r="D32" s="434">
        <f>120000+41620</f>
        <v>161620</v>
      </c>
      <c r="E32" s="603">
        <f t="shared" si="1"/>
        <v>161620</v>
      </c>
      <c r="F32" s="604"/>
      <c r="G32" s="605"/>
      <c r="H32" s="434"/>
      <c r="I32" s="434"/>
      <c r="J32" s="434"/>
      <c r="K32" s="434"/>
      <c r="L32" s="434"/>
      <c r="M32" s="434"/>
      <c r="N32" s="434"/>
      <c r="O32" s="434">
        <f>7659931+1054469+12200</f>
        <v>8726600</v>
      </c>
      <c r="P32" s="434">
        <v>12200</v>
      </c>
      <c r="Q32" s="434"/>
      <c r="R32" s="434"/>
      <c r="S32" s="434">
        <f>'Дод.1.1'!D178</f>
        <v>1164654</v>
      </c>
      <c r="T32" s="434"/>
      <c r="U32" s="434"/>
      <c r="V32" s="606">
        <f t="shared" si="2"/>
        <v>10052874</v>
      </c>
      <c r="W32" s="656"/>
      <c r="X32" s="434">
        <v>2213</v>
      </c>
      <c r="Y32" s="434">
        <f t="shared" si="4"/>
        <v>0</v>
      </c>
      <c r="Z32" s="434"/>
      <c r="AA32" s="434"/>
      <c r="AB32" s="434"/>
      <c r="AC32" s="434"/>
      <c r="AD32" s="434">
        <f t="shared" si="6"/>
        <v>0</v>
      </c>
      <c r="AE32" s="434"/>
      <c r="AF32" s="434">
        <f>150000+150000-150000-150000</f>
        <v>0</v>
      </c>
      <c r="AG32" s="606">
        <f t="shared" si="0"/>
        <v>2213</v>
      </c>
      <c r="AH32" s="49"/>
      <c r="AI32" s="50"/>
    </row>
    <row r="33" spans="1:35" s="20" customFormat="1" ht="61.5" customHeight="1">
      <c r="A33" s="578" t="s">
        <v>511</v>
      </c>
      <c r="B33" s="613" t="s">
        <v>2</v>
      </c>
      <c r="C33" s="434"/>
      <c r="D33" s="434">
        <f>250000+2139</f>
        <v>252139</v>
      </c>
      <c r="E33" s="603">
        <f t="shared" si="1"/>
        <v>252139</v>
      </c>
      <c r="F33" s="604"/>
      <c r="G33" s="605"/>
      <c r="H33" s="434"/>
      <c r="I33" s="434"/>
      <c r="J33" s="434"/>
      <c r="K33" s="434"/>
      <c r="L33" s="434"/>
      <c r="M33" s="434"/>
      <c r="N33" s="434"/>
      <c r="O33" s="434">
        <f>3957645+485255+7300</f>
        <v>4450200</v>
      </c>
      <c r="P33" s="434">
        <v>7300</v>
      </c>
      <c r="Q33" s="434"/>
      <c r="R33" s="434"/>
      <c r="S33" s="434">
        <f>'Дод.1.1'!D188</f>
        <v>42725</v>
      </c>
      <c r="T33" s="434"/>
      <c r="U33" s="434"/>
      <c r="V33" s="606">
        <f t="shared" si="2"/>
        <v>4745064</v>
      </c>
      <c r="W33" s="656"/>
      <c r="X33" s="434">
        <f t="shared" si="3"/>
        <v>0</v>
      </c>
      <c r="Y33" s="434">
        <f t="shared" si="4"/>
        <v>0</v>
      </c>
      <c r="Z33" s="434"/>
      <c r="AA33" s="434"/>
      <c r="AB33" s="434"/>
      <c r="AC33" s="434">
        <f t="shared" si="5"/>
        <v>0</v>
      </c>
      <c r="AD33" s="434">
        <f t="shared" si="6"/>
        <v>0</v>
      </c>
      <c r="AE33" s="434"/>
      <c r="AF33" s="434"/>
      <c r="AG33" s="606">
        <f t="shared" si="0"/>
        <v>0</v>
      </c>
      <c r="AH33" s="49"/>
      <c r="AI33" s="50"/>
    </row>
    <row r="34" spans="1:35" s="20" customFormat="1" ht="37.5" customHeight="1">
      <c r="A34" s="578" t="s">
        <v>512</v>
      </c>
      <c r="B34" s="613" t="s">
        <v>834</v>
      </c>
      <c r="C34" s="434"/>
      <c r="D34" s="434"/>
      <c r="E34" s="603">
        <f t="shared" si="1"/>
        <v>0</v>
      </c>
      <c r="F34" s="604"/>
      <c r="G34" s="605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606">
        <f t="shared" si="2"/>
        <v>0</v>
      </c>
      <c r="W34" s="656"/>
      <c r="X34" s="434">
        <f t="shared" si="3"/>
        <v>1675527</v>
      </c>
      <c r="Y34" s="434">
        <f t="shared" si="4"/>
        <v>1675527</v>
      </c>
      <c r="Z34" s="434">
        <v>1219287</v>
      </c>
      <c r="AA34" s="434">
        <v>456240</v>
      </c>
      <c r="AB34" s="434"/>
      <c r="AC34" s="434">
        <f t="shared" si="5"/>
        <v>0</v>
      </c>
      <c r="AD34" s="434">
        <f t="shared" si="6"/>
        <v>0</v>
      </c>
      <c r="AE34" s="434"/>
      <c r="AF34" s="434"/>
      <c r="AG34" s="606">
        <f t="shared" si="0"/>
        <v>1675527</v>
      </c>
      <c r="AH34" s="49"/>
      <c r="AI34" s="50"/>
    </row>
    <row r="35" spans="1:35" s="21" customFormat="1" ht="30" customHeight="1">
      <c r="A35" s="578"/>
      <c r="B35" s="611" t="s">
        <v>869</v>
      </c>
      <c r="C35" s="580">
        <f>SUM(C15:C34)</f>
        <v>0</v>
      </c>
      <c r="D35" s="580">
        <f>SUM(D15:D34)</f>
        <v>839240</v>
      </c>
      <c r="E35" s="606">
        <f t="shared" si="1"/>
        <v>839240</v>
      </c>
      <c r="F35" s="580">
        <f>SUM(F15:F34)</f>
        <v>0</v>
      </c>
      <c r="G35" s="580">
        <f>SUM(G15:G34)</f>
        <v>0</v>
      </c>
      <c r="H35" s="580">
        <f>SUM(H15:H34)</f>
        <v>0</v>
      </c>
      <c r="I35" s="580">
        <f>SUM(I15:I34)</f>
        <v>0</v>
      </c>
      <c r="J35" s="580">
        <f>SUM(J15:J34)</f>
        <v>0</v>
      </c>
      <c r="K35" s="580"/>
      <c r="L35" s="580"/>
      <c r="M35" s="580">
        <f>SUM(M15:M34)</f>
        <v>0</v>
      </c>
      <c r="N35" s="580"/>
      <c r="O35" s="580">
        <f aca="true" t="shared" si="7" ref="O35:U35">SUM(O15:O34)</f>
        <v>18190427</v>
      </c>
      <c r="P35" s="580">
        <f t="shared" si="7"/>
        <v>28212</v>
      </c>
      <c r="Q35" s="580">
        <f t="shared" si="7"/>
        <v>0</v>
      </c>
      <c r="R35" s="580">
        <f t="shared" si="7"/>
        <v>0</v>
      </c>
      <c r="S35" s="580">
        <f t="shared" si="7"/>
        <v>2952036</v>
      </c>
      <c r="T35" s="580">
        <f t="shared" si="7"/>
        <v>0</v>
      </c>
      <c r="U35" s="580">
        <f t="shared" si="7"/>
        <v>7350</v>
      </c>
      <c r="V35" s="606">
        <f t="shared" si="2"/>
        <v>21989053</v>
      </c>
      <c r="W35" s="580">
        <f>SUM(W15:W34)</f>
        <v>0</v>
      </c>
      <c r="X35" s="580">
        <f>SUM(X15:X34)</f>
        <v>21572386</v>
      </c>
      <c r="Y35" s="580">
        <f>Z35+AA35</f>
        <v>21494777</v>
      </c>
      <c r="Z35" s="580">
        <f>SUM(Z15:Z34)</f>
        <v>15321609</v>
      </c>
      <c r="AA35" s="580">
        <f>SUM(AA15:AA34)</f>
        <v>6173168</v>
      </c>
      <c r="AB35" s="580"/>
      <c r="AC35" s="580">
        <f>SUM(AC15:AC34)</f>
        <v>400000</v>
      </c>
      <c r="AD35" s="580">
        <f t="shared" si="6"/>
        <v>350000</v>
      </c>
      <c r="AE35" s="580">
        <f>SUM(AE15:AE34)</f>
        <v>50000</v>
      </c>
      <c r="AF35" s="580">
        <f>SUM(AF15:AF34)</f>
        <v>300000</v>
      </c>
      <c r="AG35" s="606">
        <f>X35+AC35+W35+AB35</f>
        <v>21972386</v>
      </c>
      <c r="AH35" s="256">
        <f>AG35+AG36</f>
        <v>39312762</v>
      </c>
      <c r="AI35" s="50"/>
    </row>
    <row r="36" spans="1:35" s="20" customFormat="1" ht="40.5" customHeight="1">
      <c r="A36" s="578" t="s">
        <v>513</v>
      </c>
      <c r="B36" s="614" t="s">
        <v>835</v>
      </c>
      <c r="C36" s="434"/>
      <c r="D36" s="434"/>
      <c r="E36" s="603">
        <f t="shared" si="1"/>
        <v>0</v>
      </c>
      <c r="F36" s="604"/>
      <c r="G36" s="605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606">
        <f t="shared" si="2"/>
        <v>0</v>
      </c>
      <c r="W36" s="656"/>
      <c r="X36" s="434">
        <f t="shared" si="3"/>
        <v>17340376</v>
      </c>
      <c r="Y36" s="434">
        <f t="shared" si="4"/>
        <v>17340376</v>
      </c>
      <c r="Z36" s="434">
        <v>16087890</v>
      </c>
      <c r="AA36" s="434">
        <v>1252486</v>
      </c>
      <c r="AB36" s="434"/>
      <c r="AC36" s="434">
        <f t="shared" si="5"/>
        <v>0</v>
      </c>
      <c r="AD36" s="434">
        <f t="shared" si="6"/>
        <v>0</v>
      </c>
      <c r="AE36" s="434"/>
      <c r="AF36" s="434"/>
      <c r="AG36" s="606">
        <f>X36+AC36</f>
        <v>17340376</v>
      </c>
      <c r="AH36" s="49"/>
      <c r="AI36" s="50"/>
    </row>
    <row r="37" spans="1:35" s="21" customFormat="1" ht="39" customHeight="1">
      <c r="A37" s="581"/>
      <c r="B37" s="611" t="s">
        <v>837</v>
      </c>
      <c r="C37" s="580">
        <f>C36</f>
        <v>0</v>
      </c>
      <c r="D37" s="580">
        <f>D36</f>
        <v>0</v>
      </c>
      <c r="E37" s="606"/>
      <c r="F37" s="580">
        <f>F36</f>
        <v>0</v>
      </c>
      <c r="G37" s="580">
        <f aca="true" t="shared" si="8" ref="G37:U37">G36</f>
        <v>0</v>
      </c>
      <c r="H37" s="580">
        <f t="shared" si="8"/>
        <v>0</v>
      </c>
      <c r="I37" s="580">
        <f t="shared" si="8"/>
        <v>0</v>
      </c>
      <c r="J37" s="580">
        <f t="shared" si="8"/>
        <v>0</v>
      </c>
      <c r="K37" s="580">
        <f t="shared" si="8"/>
        <v>0</v>
      </c>
      <c r="L37" s="580">
        <f t="shared" si="8"/>
        <v>0</v>
      </c>
      <c r="M37" s="580">
        <f t="shared" si="8"/>
        <v>0</v>
      </c>
      <c r="N37" s="580">
        <f t="shared" si="8"/>
        <v>0</v>
      </c>
      <c r="O37" s="580">
        <f t="shared" si="8"/>
        <v>0</v>
      </c>
      <c r="P37" s="580">
        <f t="shared" si="8"/>
        <v>0</v>
      </c>
      <c r="Q37" s="580">
        <f t="shared" si="8"/>
        <v>0</v>
      </c>
      <c r="R37" s="580">
        <f t="shared" si="8"/>
        <v>0</v>
      </c>
      <c r="S37" s="580">
        <f t="shared" si="8"/>
        <v>0</v>
      </c>
      <c r="T37" s="580">
        <f t="shared" si="8"/>
        <v>0</v>
      </c>
      <c r="U37" s="580">
        <f t="shared" si="8"/>
        <v>0</v>
      </c>
      <c r="V37" s="606">
        <f t="shared" si="2"/>
        <v>0</v>
      </c>
      <c r="W37" s="580">
        <f>W36</f>
        <v>0</v>
      </c>
      <c r="X37" s="580">
        <f>X36</f>
        <v>17340376</v>
      </c>
      <c r="Y37" s="580">
        <f aca="true" t="shared" si="9" ref="Y37:AF37">Y36</f>
        <v>17340376</v>
      </c>
      <c r="Z37" s="580">
        <f t="shared" si="9"/>
        <v>16087890</v>
      </c>
      <c r="AA37" s="580">
        <f>AA36</f>
        <v>1252486</v>
      </c>
      <c r="AB37" s="580"/>
      <c r="AC37" s="580">
        <f t="shared" si="9"/>
        <v>0</v>
      </c>
      <c r="AD37" s="580">
        <f t="shared" si="9"/>
        <v>0</v>
      </c>
      <c r="AE37" s="580">
        <f t="shared" si="9"/>
        <v>0</v>
      </c>
      <c r="AF37" s="580">
        <f t="shared" si="9"/>
        <v>0</v>
      </c>
      <c r="AG37" s="606">
        <f>AG36</f>
        <v>17340376</v>
      </c>
      <c r="AH37" s="256">
        <f>AG37+AG39</f>
        <v>17340376</v>
      </c>
      <c r="AI37" s="50"/>
    </row>
    <row r="38" spans="1:35" s="20" customFormat="1" ht="27" customHeight="1">
      <c r="A38" s="578" t="s">
        <v>672</v>
      </c>
      <c r="B38" s="613" t="s">
        <v>836</v>
      </c>
      <c r="C38" s="434"/>
      <c r="D38" s="434">
        <v>100300</v>
      </c>
      <c r="E38" s="603">
        <f t="shared" si="1"/>
        <v>100300</v>
      </c>
      <c r="F38" s="604"/>
      <c r="G38" s="605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>
        <f>'Дод.1.1'!D194</f>
        <v>291792</v>
      </c>
      <c r="T38" s="434"/>
      <c r="U38" s="434"/>
      <c r="V38" s="606">
        <f t="shared" si="2"/>
        <v>392092</v>
      </c>
      <c r="W38" s="656"/>
      <c r="X38" s="434">
        <f t="shared" si="3"/>
        <v>0</v>
      </c>
      <c r="Y38" s="434"/>
      <c r="Z38" s="434"/>
      <c r="AA38" s="434"/>
      <c r="AB38" s="434"/>
      <c r="AC38" s="434">
        <f t="shared" si="5"/>
        <v>0</v>
      </c>
      <c r="AD38" s="434"/>
      <c r="AE38" s="607"/>
      <c r="AF38" s="607"/>
      <c r="AG38" s="606">
        <f>X38+AC38</f>
        <v>0</v>
      </c>
      <c r="AH38" s="34"/>
      <c r="AI38" s="50"/>
    </row>
    <row r="39" spans="1:35" s="20" customFormat="1" ht="41.25" customHeight="1">
      <c r="A39" s="578" t="s">
        <v>786</v>
      </c>
      <c r="B39" s="613" t="s">
        <v>872</v>
      </c>
      <c r="C39" s="434">
        <v>10074760</v>
      </c>
      <c r="D39" s="434">
        <f>2106679+115008+789553</f>
        <v>3011240</v>
      </c>
      <c r="E39" s="603">
        <f t="shared" si="1"/>
        <v>13086000</v>
      </c>
      <c r="F39" s="604">
        <f>'Дод.1'!D102</f>
        <v>69279200</v>
      </c>
      <c r="G39" s="607">
        <f>'Дод.1'!D103</f>
        <v>4177700</v>
      </c>
      <c r="H39" s="434">
        <f>'Дод.1'!D104</f>
        <v>106305700</v>
      </c>
      <c r="I39" s="434">
        <f>'Дод.1'!D106</f>
        <v>3679700</v>
      </c>
      <c r="J39" s="434">
        <f>1040760+956400</f>
        <v>1997160</v>
      </c>
      <c r="K39" s="434">
        <v>1040760</v>
      </c>
      <c r="L39" s="434">
        <v>956400</v>
      </c>
      <c r="M39" s="434">
        <f>'Дод.1'!D108</f>
        <v>305500</v>
      </c>
      <c r="N39" s="434">
        <v>305500</v>
      </c>
      <c r="O39" s="434">
        <f>42500+1347400</f>
        <v>1389900</v>
      </c>
      <c r="P39" s="434">
        <v>42500</v>
      </c>
      <c r="Q39" s="434">
        <v>1347400</v>
      </c>
      <c r="R39" s="434">
        <f>'Дод.1'!D112</f>
        <v>267300</v>
      </c>
      <c r="S39" s="434">
        <f>'Дод.1.1'!D51</f>
        <v>157700</v>
      </c>
      <c r="T39" s="434">
        <f>'Дод.1'!E113</f>
        <v>233500</v>
      </c>
      <c r="U39" s="434">
        <f>'Дод.1.1'!E51</f>
        <v>1350000</v>
      </c>
      <c r="V39" s="606">
        <f t="shared" si="2"/>
        <v>202229360</v>
      </c>
      <c r="W39" s="656"/>
      <c r="X39" s="434">
        <f t="shared" si="3"/>
        <v>0</v>
      </c>
      <c r="Y39" s="434">
        <f t="shared" si="4"/>
        <v>0</v>
      </c>
      <c r="Z39" s="434"/>
      <c r="AA39" s="434"/>
      <c r="AB39" s="434"/>
      <c r="AC39" s="434">
        <f t="shared" si="5"/>
        <v>0</v>
      </c>
      <c r="AD39" s="434">
        <f t="shared" si="6"/>
        <v>0</v>
      </c>
      <c r="AE39" s="607"/>
      <c r="AF39" s="607"/>
      <c r="AG39" s="606">
        <f>X39+AC39</f>
        <v>0</v>
      </c>
      <c r="AH39" s="34"/>
      <c r="AI39" s="50"/>
    </row>
    <row r="40" spans="1:35" s="21" customFormat="1" ht="38.25" customHeight="1">
      <c r="A40" s="582"/>
      <c r="B40" s="615" t="s">
        <v>838</v>
      </c>
      <c r="C40" s="608">
        <f>C38+C39+C37+C35</f>
        <v>10074760</v>
      </c>
      <c r="D40" s="608">
        <f aca="true" t="shared" si="10" ref="D40:AF40">D38+D39+D37+D35</f>
        <v>3950780</v>
      </c>
      <c r="E40" s="612">
        <f t="shared" si="10"/>
        <v>14025540</v>
      </c>
      <c r="F40" s="608">
        <f t="shared" si="10"/>
        <v>69279200</v>
      </c>
      <c r="G40" s="608">
        <f t="shared" si="10"/>
        <v>4177700</v>
      </c>
      <c r="H40" s="608">
        <f t="shared" si="10"/>
        <v>106305700</v>
      </c>
      <c r="I40" s="608">
        <f t="shared" si="10"/>
        <v>3679700</v>
      </c>
      <c r="J40" s="608">
        <f t="shared" si="10"/>
        <v>1997160</v>
      </c>
      <c r="K40" s="608">
        <f t="shared" si="10"/>
        <v>1040760</v>
      </c>
      <c r="L40" s="608">
        <f t="shared" si="10"/>
        <v>956400</v>
      </c>
      <c r="M40" s="608">
        <f t="shared" si="10"/>
        <v>305500</v>
      </c>
      <c r="N40" s="608">
        <f t="shared" si="10"/>
        <v>305500</v>
      </c>
      <c r="O40" s="608">
        <f t="shared" si="10"/>
        <v>19580327</v>
      </c>
      <c r="P40" s="608">
        <f t="shared" si="10"/>
        <v>70712</v>
      </c>
      <c r="Q40" s="608">
        <f t="shared" si="10"/>
        <v>1347400</v>
      </c>
      <c r="R40" s="608">
        <f t="shared" si="10"/>
        <v>267300</v>
      </c>
      <c r="S40" s="608">
        <f t="shared" si="10"/>
        <v>3401528</v>
      </c>
      <c r="T40" s="608">
        <f t="shared" si="10"/>
        <v>233500</v>
      </c>
      <c r="U40" s="608">
        <f t="shared" si="10"/>
        <v>1357350</v>
      </c>
      <c r="V40" s="612">
        <f t="shared" si="10"/>
        <v>224610505</v>
      </c>
      <c r="W40" s="608">
        <f>W38+W39+W37+W35</f>
        <v>0</v>
      </c>
      <c r="X40" s="608">
        <f>X38+X39+X37+X35</f>
        <v>38912762</v>
      </c>
      <c r="Y40" s="608">
        <f t="shared" si="10"/>
        <v>38835153</v>
      </c>
      <c r="Z40" s="608">
        <f>Z38+Z39+Z37+Z35</f>
        <v>31409499</v>
      </c>
      <c r="AA40" s="608">
        <f t="shared" si="10"/>
        <v>7425654</v>
      </c>
      <c r="AB40" s="608"/>
      <c r="AC40" s="608">
        <f t="shared" si="10"/>
        <v>400000</v>
      </c>
      <c r="AD40" s="608">
        <f t="shared" si="10"/>
        <v>350000</v>
      </c>
      <c r="AE40" s="608">
        <f t="shared" si="10"/>
        <v>50000</v>
      </c>
      <c r="AF40" s="608">
        <f t="shared" si="10"/>
        <v>300000</v>
      </c>
      <c r="AG40" s="612">
        <f>X40+AC40+W40+AB40</f>
        <v>39312762</v>
      </c>
      <c r="AH40" s="239">
        <f>AH42-AH41</f>
        <v>1029553</v>
      </c>
      <c r="AI40" s="50"/>
    </row>
    <row r="41" spans="1:35" ht="23.25" customHeight="1">
      <c r="A41" s="583"/>
      <c r="B41" s="616" t="s">
        <v>244</v>
      </c>
      <c r="C41" s="584"/>
      <c r="D41" s="584"/>
      <c r="E41" s="603">
        <f t="shared" si="1"/>
        <v>0</v>
      </c>
      <c r="F41" s="604"/>
      <c r="G41" s="609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606">
        <f t="shared" si="2"/>
        <v>0</v>
      </c>
      <c r="W41" s="657">
        <f>'Дод.3'!H107</f>
        <v>950449</v>
      </c>
      <c r="X41" s="434"/>
      <c r="Y41" s="434">
        <f t="shared" si="4"/>
        <v>0</v>
      </c>
      <c r="Z41" s="584"/>
      <c r="AA41" s="584"/>
      <c r="AB41" s="584">
        <f>'Дод.3'!M107</f>
        <v>79104</v>
      </c>
      <c r="AC41" s="434">
        <f t="shared" si="5"/>
        <v>0</v>
      </c>
      <c r="AD41" s="434">
        <f t="shared" si="6"/>
        <v>0</v>
      </c>
      <c r="AE41" s="610"/>
      <c r="AF41" s="610"/>
      <c r="AG41" s="612">
        <f>X41+AC41+W41+AB41</f>
        <v>1029553</v>
      </c>
      <c r="AH41" s="237">
        <f>'Дод.3'!S106</f>
        <v>39312762</v>
      </c>
      <c r="AI41" s="50"/>
    </row>
    <row r="42" spans="1:35" s="6" customFormat="1" ht="28.5" customHeight="1">
      <c r="A42" s="585"/>
      <c r="B42" s="617" t="s">
        <v>619</v>
      </c>
      <c r="C42" s="586">
        <f>C40+C41</f>
        <v>10074760</v>
      </c>
      <c r="D42" s="586">
        <f aca="true" t="shared" si="11" ref="D42:V42">D40+D41</f>
        <v>3950780</v>
      </c>
      <c r="E42" s="618">
        <f t="shared" si="11"/>
        <v>14025540</v>
      </c>
      <c r="F42" s="586">
        <f t="shared" si="11"/>
        <v>69279200</v>
      </c>
      <c r="G42" s="586">
        <f t="shared" si="11"/>
        <v>4177700</v>
      </c>
      <c r="H42" s="586">
        <f t="shared" si="11"/>
        <v>106305700</v>
      </c>
      <c r="I42" s="586">
        <f t="shared" si="11"/>
        <v>3679700</v>
      </c>
      <c r="J42" s="586">
        <f t="shared" si="11"/>
        <v>1997160</v>
      </c>
      <c r="K42" s="586">
        <f t="shared" si="11"/>
        <v>1040760</v>
      </c>
      <c r="L42" s="586">
        <f t="shared" si="11"/>
        <v>956400</v>
      </c>
      <c r="M42" s="586">
        <f t="shared" si="11"/>
        <v>305500</v>
      </c>
      <c r="N42" s="586">
        <f t="shared" si="11"/>
        <v>305500</v>
      </c>
      <c r="O42" s="586">
        <f t="shared" si="11"/>
        <v>19580327</v>
      </c>
      <c r="P42" s="586">
        <f t="shared" si="11"/>
        <v>70712</v>
      </c>
      <c r="Q42" s="586">
        <f t="shared" si="11"/>
        <v>1347400</v>
      </c>
      <c r="R42" s="586">
        <f t="shared" si="11"/>
        <v>267300</v>
      </c>
      <c r="S42" s="586">
        <f t="shared" si="11"/>
        <v>3401528</v>
      </c>
      <c r="T42" s="586">
        <f t="shared" si="11"/>
        <v>233500</v>
      </c>
      <c r="U42" s="586">
        <f t="shared" si="11"/>
        <v>1357350</v>
      </c>
      <c r="V42" s="618">
        <f t="shared" si="11"/>
        <v>224610505</v>
      </c>
      <c r="W42" s="586">
        <f>W40+W41</f>
        <v>950449</v>
      </c>
      <c r="X42" s="586">
        <f>X40+X41</f>
        <v>38912762</v>
      </c>
      <c r="Y42" s="586">
        <f>Y40+Y41</f>
        <v>38835153</v>
      </c>
      <c r="Z42" s="586">
        <f>Z40+Z41</f>
        <v>31409499</v>
      </c>
      <c r="AA42" s="586">
        <f aca="true" t="shared" si="12" ref="AA42:AF42">AA40+AA41</f>
        <v>7425654</v>
      </c>
      <c r="AB42" s="586">
        <f t="shared" si="12"/>
        <v>79104</v>
      </c>
      <c r="AC42" s="586">
        <f t="shared" si="12"/>
        <v>400000</v>
      </c>
      <c r="AD42" s="586">
        <f t="shared" si="12"/>
        <v>350000</v>
      </c>
      <c r="AE42" s="586">
        <f t="shared" si="12"/>
        <v>50000</v>
      </c>
      <c r="AF42" s="586">
        <f t="shared" si="12"/>
        <v>300000</v>
      </c>
      <c r="AG42" s="618">
        <f>AG40+AG41</f>
        <v>40342315</v>
      </c>
      <c r="AH42" s="238">
        <f>'Дод.3'!S102-'Дод.3'!S103</f>
        <v>40342315</v>
      </c>
      <c r="AI42" s="50"/>
    </row>
    <row r="43" spans="1:35" ht="20.25" customHeight="1">
      <c r="A43" s="587"/>
      <c r="B43" s="588"/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377"/>
      <c r="AD43" s="587"/>
      <c r="AE43" s="587"/>
      <c r="AF43" s="587"/>
      <c r="AG43" s="594"/>
      <c r="AH43" s="7"/>
      <c r="AI43" s="7"/>
    </row>
    <row r="44" spans="1:35" ht="20.25" customHeight="1">
      <c r="A44" s="587"/>
      <c r="B44" s="753" t="s">
        <v>435</v>
      </c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255">
        <f>AH42-AG42</f>
        <v>0</v>
      </c>
      <c r="AI44" s="83"/>
    </row>
    <row r="45" spans="1:35" s="59" customFormat="1" ht="23.25" customHeight="1">
      <c r="A45" s="65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50"/>
      <c r="Y45" s="750"/>
      <c r="Z45" s="750"/>
      <c r="AA45" s="750"/>
      <c r="AB45" s="750"/>
      <c r="AC45" s="751"/>
      <c r="AD45" s="751"/>
      <c r="AE45" s="751"/>
      <c r="AF45" s="751"/>
      <c r="AG45" s="751"/>
      <c r="AH45" s="60"/>
      <c r="AI45" s="60"/>
    </row>
    <row r="46" spans="1:35" ht="20.25">
      <c r="A46" s="7"/>
      <c r="B46" s="68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8"/>
      <c r="Z46" s="68"/>
      <c r="AA46" s="68"/>
      <c r="AB46" s="68"/>
      <c r="AC46" s="46"/>
      <c r="AD46" s="46"/>
      <c r="AE46" s="46"/>
      <c r="AF46" s="46"/>
      <c r="AG46" s="595"/>
      <c r="AH46" s="8"/>
      <c r="AI46" s="8"/>
    </row>
    <row r="47" spans="1:35" s="76" customFormat="1" ht="30.75" customHeight="1">
      <c r="A47" s="75"/>
      <c r="B47" s="240" t="s">
        <v>460</v>
      </c>
      <c r="C47" s="241"/>
      <c r="D47" s="241"/>
      <c r="E47" s="259">
        <f>'Дод.1'!D100</f>
        <v>14025540</v>
      </c>
      <c r="F47" s="259">
        <f>'Дод.1'!D102</f>
        <v>69279200</v>
      </c>
      <c r="G47" s="259">
        <f>'Дод.1'!D103</f>
        <v>4177700</v>
      </c>
      <c r="H47" s="259">
        <f>'Дод.1'!D104</f>
        <v>106305700</v>
      </c>
      <c r="I47" s="259">
        <f>'Дод.1'!D106</f>
        <v>3679700</v>
      </c>
      <c r="J47" s="259">
        <f>'Дод.1'!D107</f>
        <v>1997160</v>
      </c>
      <c r="K47" s="259"/>
      <c r="L47" s="259"/>
      <c r="M47" s="259">
        <f>'Дод.1'!D108</f>
        <v>305500</v>
      </c>
      <c r="N47" s="259"/>
      <c r="O47" s="259">
        <f>'Дод.1'!D110</f>
        <v>19580327</v>
      </c>
      <c r="P47" s="259"/>
      <c r="Q47" s="259"/>
      <c r="R47" s="259">
        <f>'Дод.1'!D112</f>
        <v>267300</v>
      </c>
      <c r="S47" s="259">
        <f>'Дод.1.1'!D195</f>
        <v>3401528</v>
      </c>
      <c r="T47" s="259">
        <f>'Дод.1'!E113</f>
        <v>233500</v>
      </c>
      <c r="U47" s="259">
        <f>'Дод.1.1'!E195</f>
        <v>1357350</v>
      </c>
      <c r="V47" s="259">
        <f>'Дод.1'!C101+'Дод.1'!C99</f>
        <v>224610505</v>
      </c>
      <c r="W47" s="259"/>
      <c r="X47" s="259">
        <f>'Дод.3'!H106</f>
        <v>38912762</v>
      </c>
      <c r="Y47" s="259"/>
      <c r="Z47" s="259"/>
      <c r="AA47" s="259"/>
      <c r="AB47" s="259"/>
      <c r="AC47" s="259">
        <f>'Дод.3'!M106</f>
        <v>400000</v>
      </c>
      <c r="AD47" s="259"/>
      <c r="AE47" s="259"/>
      <c r="AF47" s="259"/>
      <c r="AG47" s="596">
        <f>'Дод.3'!S106+'Дод.3'!S107+'Дод.3'!H104</f>
        <v>40342315</v>
      </c>
      <c r="AH47" s="242"/>
      <c r="AI47" s="242"/>
    </row>
    <row r="48" spans="1:35" s="56" customFormat="1" ht="20.25">
      <c r="A48" s="74"/>
      <c r="B48" s="243" t="s">
        <v>461</v>
      </c>
      <c r="C48" s="244"/>
      <c r="D48" s="244"/>
      <c r="E48" s="244">
        <f>E47-E42</f>
        <v>0</v>
      </c>
      <c r="F48" s="244">
        <f aca="true" t="shared" si="13" ref="F48:AG48">F47-F42</f>
        <v>0</v>
      </c>
      <c r="G48" s="244">
        <f t="shared" si="13"/>
        <v>0</v>
      </c>
      <c r="H48" s="244">
        <f t="shared" si="13"/>
        <v>0</v>
      </c>
      <c r="I48" s="244">
        <f t="shared" si="13"/>
        <v>0</v>
      </c>
      <c r="J48" s="244">
        <f t="shared" si="13"/>
        <v>0</v>
      </c>
      <c r="K48" s="244"/>
      <c r="L48" s="244"/>
      <c r="M48" s="244">
        <f t="shared" si="13"/>
        <v>0</v>
      </c>
      <c r="N48" s="244"/>
      <c r="O48" s="244">
        <f t="shared" si="13"/>
        <v>0</v>
      </c>
      <c r="P48" s="244"/>
      <c r="Q48" s="244"/>
      <c r="R48" s="244">
        <f t="shared" si="13"/>
        <v>0</v>
      </c>
      <c r="S48" s="244">
        <f t="shared" si="13"/>
        <v>0</v>
      </c>
      <c r="T48" s="244">
        <f t="shared" si="13"/>
        <v>0</v>
      </c>
      <c r="U48" s="244">
        <f t="shared" si="13"/>
        <v>0</v>
      </c>
      <c r="V48" s="244">
        <f>V47-V42</f>
        <v>0</v>
      </c>
      <c r="W48" s="244"/>
      <c r="X48" s="244">
        <f t="shared" si="13"/>
        <v>0</v>
      </c>
      <c r="Y48" s="244"/>
      <c r="Z48" s="244"/>
      <c r="AA48" s="244"/>
      <c r="AB48" s="244"/>
      <c r="AC48" s="244">
        <f t="shared" si="13"/>
        <v>0</v>
      </c>
      <c r="AD48" s="244"/>
      <c r="AE48" s="244"/>
      <c r="AF48" s="244"/>
      <c r="AG48" s="597">
        <f t="shared" si="13"/>
        <v>0</v>
      </c>
      <c r="AH48" s="243"/>
      <c r="AI48" s="245"/>
    </row>
    <row r="49" spans="2:35" ht="20.25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8"/>
      <c r="Y49" s="248"/>
      <c r="Z49" s="248"/>
      <c r="AA49" s="248"/>
      <c r="AB49" s="248"/>
      <c r="AC49" s="249"/>
      <c r="AD49" s="248"/>
      <c r="AE49" s="248"/>
      <c r="AF49" s="248"/>
      <c r="AG49" s="598"/>
      <c r="AH49" s="246"/>
      <c r="AI49" s="246"/>
    </row>
    <row r="50" spans="2:35" s="57" customFormat="1" ht="20.25">
      <c r="B50" s="250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599"/>
      <c r="AH50" s="250"/>
      <c r="AI50" s="250"/>
    </row>
    <row r="51" spans="24:33" ht="15.75">
      <c r="X51" s="35"/>
      <c r="Y51" s="35"/>
      <c r="Z51" s="35"/>
      <c r="AA51" s="35"/>
      <c r="AB51" s="35"/>
      <c r="AC51" s="396"/>
      <c r="AD51" s="35"/>
      <c r="AE51" s="35"/>
      <c r="AF51" s="35"/>
      <c r="AG51" s="600"/>
    </row>
    <row r="53" ht="23.25">
      <c r="AD53" s="394"/>
    </row>
  </sheetData>
  <sheetProtection/>
  <mergeCells count="59">
    <mergeCell ref="AE1:AG1"/>
    <mergeCell ref="AE2:AG2"/>
    <mergeCell ref="AE3:AG3"/>
    <mergeCell ref="Y1:AA1"/>
    <mergeCell ref="Y2:AA2"/>
    <mergeCell ref="W8:AF8"/>
    <mergeCell ref="A5:AA5"/>
    <mergeCell ref="K1:M1"/>
    <mergeCell ref="K2:M2"/>
    <mergeCell ref="K3:M3"/>
    <mergeCell ref="B7:B13"/>
    <mergeCell ref="A7:A13"/>
    <mergeCell ref="X7:AF7"/>
    <mergeCell ref="Y11:AA11"/>
    <mergeCell ref="Y12:Y13"/>
    <mergeCell ref="C7:V7"/>
    <mergeCell ref="H11:H13"/>
    <mergeCell ref="I11:I13"/>
    <mergeCell ref="C8:E8"/>
    <mergeCell ref="N12:N13"/>
    <mergeCell ref="D11:D13"/>
    <mergeCell ref="F8:U8"/>
    <mergeCell ref="F10:U10"/>
    <mergeCell ref="P11:Q11"/>
    <mergeCell ref="T9:U9"/>
    <mergeCell ref="J11:J13"/>
    <mergeCell ref="C9:D9"/>
    <mergeCell ref="Q12:Q13"/>
    <mergeCell ref="G11:G13"/>
    <mergeCell ref="T11:T13"/>
    <mergeCell ref="F11:F13"/>
    <mergeCell ref="K12:K13"/>
    <mergeCell ref="L12:L13"/>
    <mergeCell ref="O11:O13"/>
    <mergeCell ref="X45:AG45"/>
    <mergeCell ref="Z12:AA12"/>
    <mergeCell ref="B44:AG44"/>
    <mergeCell ref="U11:U13"/>
    <mergeCell ref="E9:E13"/>
    <mergeCell ref="F9:S9"/>
    <mergeCell ref="C11:C13"/>
    <mergeCell ref="AG7:AG13"/>
    <mergeCell ref="X11:X13"/>
    <mergeCell ref="K11:L11"/>
    <mergeCell ref="C10:D10"/>
    <mergeCell ref="M11:M13"/>
    <mergeCell ref="R11:R13"/>
    <mergeCell ref="S11:S13"/>
    <mergeCell ref="P12:P13"/>
    <mergeCell ref="AE12:AF12"/>
    <mergeCell ref="AD12:AD13"/>
    <mergeCell ref="V8:V13"/>
    <mergeCell ref="X10:AF10"/>
    <mergeCell ref="AC11:AC13"/>
    <mergeCell ref="AD11:AF11"/>
    <mergeCell ref="AB11:AB13"/>
    <mergeCell ref="W11:W13"/>
    <mergeCell ref="W9:AA9"/>
    <mergeCell ref="AB9:AF9"/>
  </mergeCells>
  <conditionalFormatting sqref="AI48 C47:AI47">
    <cfRule type="cellIs" priority="1" dxfId="0" operator="not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2362204724409449"/>
  <pageSetup fitToWidth="2" horizontalDpi="300" verticalDpi="3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43"/>
  <sheetViews>
    <sheetView view="pageBreakPreview" zoomScale="75" zoomScaleNormal="50" zoomScaleSheetLayoutView="75" zoomScalePageLayoutView="0" workbookViewId="0" topLeftCell="A58">
      <selection activeCell="B89" sqref="A84:E232"/>
    </sheetView>
  </sheetViews>
  <sheetFormatPr defaultColWidth="9.00390625" defaultRowHeight="12.75"/>
  <cols>
    <col min="1" max="1" width="27.00390625" style="99" customWidth="1"/>
    <col min="2" max="2" width="87.25390625" style="99" customWidth="1"/>
    <col min="3" max="3" width="22.875" style="99" customWidth="1"/>
    <col min="4" max="4" width="22.625" style="99" customWidth="1"/>
    <col min="5" max="5" width="21.625" style="99" customWidth="1"/>
    <col min="6" max="6" width="16.875" style="99" hidden="1" customWidth="1"/>
    <col min="7" max="7" width="13.75390625" style="99" hidden="1" customWidth="1"/>
    <col min="8" max="8" width="17.875" style="99" customWidth="1"/>
    <col min="9" max="9" width="17.125" style="99" customWidth="1"/>
    <col min="10" max="10" width="15.375" style="99" customWidth="1"/>
    <col min="11" max="11" width="16.125" style="99" customWidth="1"/>
    <col min="12" max="16384" width="9.125" style="99" customWidth="1"/>
  </cols>
  <sheetData>
    <row r="1" spans="1:49" ht="20.25" customHeight="1">
      <c r="A1" s="104"/>
      <c r="B1" s="104"/>
      <c r="C1" s="104"/>
      <c r="D1" s="107" t="s">
        <v>404</v>
      </c>
      <c r="E1" s="99"/>
      <c r="G1" s="86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</row>
    <row r="2" spans="1:49" ht="18" customHeight="1">
      <c r="A2" s="105"/>
      <c r="B2" s="105"/>
      <c r="C2" s="105"/>
      <c r="D2" s="86" t="s">
        <v>761</v>
      </c>
      <c r="E2" s="99"/>
      <c r="G2" s="86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</row>
    <row r="3" spans="1:49" ht="18" customHeight="1">
      <c r="A3" s="105"/>
      <c r="B3" s="105"/>
      <c r="C3" s="105"/>
      <c r="D3" s="711" t="str">
        <f>'Дод.1'!D3</f>
        <v>від                    №  </v>
      </c>
      <c r="E3" s="712"/>
      <c r="G3" s="86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</row>
    <row r="4" spans="1:49" ht="37.5" customHeight="1">
      <c r="A4" s="805" t="s">
        <v>113</v>
      </c>
      <c r="B4" s="805"/>
      <c r="C4" s="805"/>
      <c r="D4" s="805"/>
      <c r="E4" s="805"/>
      <c r="F4" s="805"/>
      <c r="G4" s="109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</row>
    <row r="5" spans="1:7" ht="16.5" customHeight="1">
      <c r="A5" s="205"/>
      <c r="B5" s="205"/>
      <c r="C5" s="205"/>
      <c r="D5" s="205"/>
      <c r="E5" s="197" t="s">
        <v>302</v>
      </c>
      <c r="F5" s="206"/>
      <c r="G5" s="110"/>
    </row>
    <row r="6" spans="1:11" ht="54.75" customHeight="1">
      <c r="A6" s="200" t="s">
        <v>844</v>
      </c>
      <c r="B6" s="200" t="s">
        <v>62</v>
      </c>
      <c r="C6" s="200" t="s">
        <v>248</v>
      </c>
      <c r="D6" s="207" t="s">
        <v>522</v>
      </c>
      <c r="E6" s="207" t="s">
        <v>842</v>
      </c>
      <c r="F6" s="206"/>
      <c r="G6" s="111"/>
      <c r="H6" s="806" t="s">
        <v>231</v>
      </c>
      <c r="I6" s="806"/>
      <c r="J6" s="807" t="s">
        <v>232</v>
      </c>
      <c r="K6" s="807"/>
    </row>
    <row r="7" spans="1:11" ht="18" customHeight="1">
      <c r="A7" s="200">
        <v>1</v>
      </c>
      <c r="B7" s="200">
        <v>2</v>
      </c>
      <c r="C7" s="200">
        <v>3</v>
      </c>
      <c r="D7" s="207">
        <v>4</v>
      </c>
      <c r="E7" s="207">
        <v>5</v>
      </c>
      <c r="F7" s="206"/>
      <c r="G7" s="111"/>
      <c r="H7" s="98"/>
      <c r="I7" s="98"/>
      <c r="J7" s="98"/>
      <c r="K7" s="98"/>
    </row>
    <row r="8" spans="1:11" ht="41.25" customHeight="1" hidden="1">
      <c r="A8" s="796" t="s">
        <v>819</v>
      </c>
      <c r="B8" s="226"/>
      <c r="C8" s="113">
        <f aca="true" t="shared" si="0" ref="C8:C30">D8+E8</f>
        <v>0</v>
      </c>
      <c r="D8" s="113"/>
      <c r="E8" s="113"/>
      <c r="F8" s="208"/>
      <c r="G8" s="167"/>
      <c r="H8" s="98"/>
      <c r="I8" s="98"/>
      <c r="J8" s="98"/>
      <c r="K8" s="98"/>
    </row>
    <row r="9" spans="1:11" ht="41.25" customHeight="1" hidden="1">
      <c r="A9" s="794"/>
      <c r="B9" s="226"/>
      <c r="C9" s="113">
        <f t="shared" si="0"/>
        <v>0</v>
      </c>
      <c r="D9" s="113"/>
      <c r="E9" s="113"/>
      <c r="F9" s="208"/>
      <c r="G9" s="167"/>
      <c r="H9" s="98"/>
      <c r="I9" s="98"/>
      <c r="J9" s="98"/>
      <c r="K9" s="98"/>
    </row>
    <row r="10" spans="1:11" ht="41.25" customHeight="1" hidden="1">
      <c r="A10" s="794"/>
      <c r="B10" s="226"/>
      <c r="C10" s="113">
        <f t="shared" si="0"/>
        <v>0</v>
      </c>
      <c r="D10" s="113"/>
      <c r="E10" s="113"/>
      <c r="F10" s="208"/>
      <c r="G10" s="167"/>
      <c r="H10" s="98"/>
      <c r="I10" s="98"/>
      <c r="J10" s="98"/>
      <c r="K10" s="98"/>
    </row>
    <row r="11" spans="1:11" ht="41.25" customHeight="1" hidden="1">
      <c r="A11" s="794"/>
      <c r="B11" s="226"/>
      <c r="C11" s="113">
        <f t="shared" si="0"/>
        <v>0</v>
      </c>
      <c r="D11" s="113"/>
      <c r="E11" s="113"/>
      <c r="F11" s="208"/>
      <c r="G11" s="167"/>
      <c r="H11" s="98"/>
      <c r="I11" s="98"/>
      <c r="J11" s="98"/>
      <c r="K11" s="98"/>
    </row>
    <row r="12" spans="1:11" ht="41.25" customHeight="1" hidden="1">
      <c r="A12" s="794"/>
      <c r="B12" s="226"/>
      <c r="C12" s="113">
        <f t="shared" si="0"/>
        <v>0</v>
      </c>
      <c r="D12" s="113"/>
      <c r="E12" s="113"/>
      <c r="F12" s="208"/>
      <c r="G12" s="167"/>
      <c r="H12" s="98"/>
      <c r="I12" s="98"/>
      <c r="J12" s="98"/>
      <c r="K12" s="98"/>
    </row>
    <row r="13" spans="1:11" ht="41.25" customHeight="1" hidden="1">
      <c r="A13" s="794"/>
      <c r="B13" s="226"/>
      <c r="C13" s="113">
        <f t="shared" si="0"/>
        <v>0</v>
      </c>
      <c r="D13" s="113"/>
      <c r="E13" s="113"/>
      <c r="F13" s="208"/>
      <c r="G13" s="167"/>
      <c r="H13" s="98"/>
      <c r="I13" s="98"/>
      <c r="J13" s="98"/>
      <c r="K13" s="98"/>
    </row>
    <row r="14" spans="1:11" ht="41.25" customHeight="1" hidden="1">
      <c r="A14" s="794"/>
      <c r="B14" s="226"/>
      <c r="C14" s="113">
        <f t="shared" si="0"/>
        <v>0</v>
      </c>
      <c r="D14" s="113"/>
      <c r="E14" s="113"/>
      <c r="F14" s="208"/>
      <c r="G14" s="167"/>
      <c r="H14" s="98"/>
      <c r="I14" s="98"/>
      <c r="J14" s="98"/>
      <c r="K14" s="98"/>
    </row>
    <row r="15" spans="1:11" ht="41.25" customHeight="1" hidden="1">
      <c r="A15" s="794"/>
      <c r="B15" s="226"/>
      <c r="C15" s="113">
        <f t="shared" si="0"/>
        <v>0</v>
      </c>
      <c r="D15" s="112"/>
      <c r="E15" s="112"/>
      <c r="F15" s="208"/>
      <c r="G15" s="167"/>
      <c r="H15" s="98"/>
      <c r="I15" s="98"/>
      <c r="J15" s="98"/>
      <c r="K15" s="98"/>
    </row>
    <row r="16" spans="1:46" s="114" customFormat="1" ht="39.75" customHeight="1">
      <c r="A16" s="794"/>
      <c r="B16" s="227" t="s">
        <v>845</v>
      </c>
      <c r="C16" s="112">
        <f t="shared" si="0"/>
        <v>3962023</v>
      </c>
      <c r="D16" s="112">
        <f>'Дод.4'!Y15</f>
        <v>3962023</v>
      </c>
      <c r="E16" s="113"/>
      <c r="F16" s="116"/>
      <c r="H16" s="115"/>
      <c r="I16" s="115"/>
      <c r="J16" s="115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</row>
    <row r="17" spans="1:46" s="114" customFormat="1" ht="23.25" customHeight="1">
      <c r="A17" s="795"/>
      <c r="B17" s="232" t="s">
        <v>843</v>
      </c>
      <c r="C17" s="117">
        <f t="shared" si="0"/>
        <v>3962023</v>
      </c>
      <c r="D17" s="117">
        <f>SUM(D8:D16)</f>
        <v>3962023</v>
      </c>
      <c r="E17" s="117">
        <f>SUM(E8:E16)</f>
        <v>0</v>
      </c>
      <c r="F17" s="116"/>
      <c r="H17" s="118">
        <f>'Дод.4'!Y15</f>
        <v>3962023</v>
      </c>
      <c r="I17" s="118">
        <f>'Дод.4'!AC15</f>
        <v>0</v>
      </c>
      <c r="J17" s="220">
        <f>H17-D17</f>
        <v>0</v>
      </c>
      <c r="K17" s="220">
        <f>I17-E17</f>
        <v>0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</row>
    <row r="18" spans="1:46" s="114" customFormat="1" ht="34.5" customHeight="1" hidden="1">
      <c r="A18" s="796" t="s">
        <v>820</v>
      </c>
      <c r="B18" s="226"/>
      <c r="C18" s="112">
        <f t="shared" si="0"/>
        <v>0</v>
      </c>
      <c r="D18" s="112"/>
      <c r="E18" s="112"/>
      <c r="F18" s="116"/>
      <c r="H18" s="118"/>
      <c r="I18" s="118"/>
      <c r="J18" s="115"/>
      <c r="K18" s="220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</row>
    <row r="19" spans="1:46" s="114" customFormat="1" ht="42.75" customHeight="1" hidden="1">
      <c r="A19" s="794"/>
      <c r="B19" s="226"/>
      <c r="C19" s="112">
        <f t="shared" si="0"/>
        <v>0</v>
      </c>
      <c r="D19" s="112"/>
      <c r="E19" s="112"/>
      <c r="F19" s="116"/>
      <c r="H19" s="118"/>
      <c r="I19" s="118"/>
      <c r="J19" s="115"/>
      <c r="K19" s="220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</row>
    <row r="20" spans="1:46" s="114" customFormat="1" ht="34.5" customHeight="1" hidden="1">
      <c r="A20" s="794"/>
      <c r="B20" s="226"/>
      <c r="C20" s="112">
        <f t="shared" si="0"/>
        <v>0</v>
      </c>
      <c r="D20" s="112"/>
      <c r="E20" s="112"/>
      <c r="F20" s="116"/>
      <c r="H20" s="118"/>
      <c r="I20" s="118"/>
      <c r="J20" s="115"/>
      <c r="K20" s="220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</row>
    <row r="21" spans="1:46" s="114" customFormat="1" ht="40.5" customHeight="1" hidden="1">
      <c r="A21" s="794"/>
      <c r="B21" s="227"/>
      <c r="C21" s="112"/>
      <c r="D21" s="112"/>
      <c r="E21" s="112"/>
      <c r="F21" s="116"/>
      <c r="H21" s="118"/>
      <c r="I21" s="118"/>
      <c r="J21" s="115"/>
      <c r="K21" s="220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</row>
    <row r="22" spans="1:46" s="114" customFormat="1" ht="57.75" customHeight="1" hidden="1">
      <c r="A22" s="794"/>
      <c r="B22" s="227"/>
      <c r="C22" s="112"/>
      <c r="D22" s="112"/>
      <c r="E22" s="112"/>
      <c r="F22" s="116"/>
      <c r="H22" s="118"/>
      <c r="I22" s="118"/>
      <c r="J22" s="115"/>
      <c r="K22" s="220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</row>
    <row r="23" spans="1:11" ht="42" customHeight="1">
      <c r="A23" s="794"/>
      <c r="B23" s="227" t="s">
        <v>845</v>
      </c>
      <c r="C23" s="112">
        <f t="shared" si="0"/>
        <v>713847</v>
      </c>
      <c r="D23" s="113">
        <f>'Дод.4'!Y16</f>
        <v>713847</v>
      </c>
      <c r="E23" s="113"/>
      <c r="F23" s="116"/>
      <c r="H23" s="119"/>
      <c r="I23" s="98"/>
      <c r="J23" s="98"/>
      <c r="K23" s="220"/>
    </row>
    <row r="24" spans="1:11" ht="25.5" customHeight="1">
      <c r="A24" s="795"/>
      <c r="B24" s="232" t="s">
        <v>843</v>
      </c>
      <c r="C24" s="117">
        <f t="shared" si="0"/>
        <v>713847</v>
      </c>
      <c r="D24" s="117">
        <f>SUM(D18:D23)</f>
        <v>713847</v>
      </c>
      <c r="E24" s="117">
        <f>SUM(E18:E23)</f>
        <v>0</v>
      </c>
      <c r="F24" s="116"/>
      <c r="H24" s="119">
        <f>'Дод.4'!X16</f>
        <v>713847</v>
      </c>
      <c r="I24" s="119">
        <f>'Дод.4'!AC16</f>
        <v>0</v>
      </c>
      <c r="J24" s="220">
        <f>H24-D24</f>
        <v>0</v>
      </c>
      <c r="K24" s="220">
        <f>I24-E24</f>
        <v>0</v>
      </c>
    </row>
    <row r="25" spans="1:11" ht="21.75" customHeight="1" hidden="1">
      <c r="A25" s="796" t="s">
        <v>250</v>
      </c>
      <c r="B25" s="226"/>
      <c r="C25" s="113">
        <f t="shared" si="0"/>
        <v>0</v>
      </c>
      <c r="D25" s="112"/>
      <c r="E25" s="112"/>
      <c r="F25" s="116"/>
      <c r="H25" s="119"/>
      <c r="I25" s="119"/>
      <c r="J25" s="98"/>
      <c r="K25" s="98"/>
    </row>
    <row r="26" spans="1:11" ht="21.75" customHeight="1" hidden="1">
      <c r="A26" s="794"/>
      <c r="B26" s="226"/>
      <c r="C26" s="113">
        <f>D26+E26</f>
        <v>0</v>
      </c>
      <c r="D26" s="112"/>
      <c r="E26" s="112"/>
      <c r="F26" s="116"/>
      <c r="H26" s="119"/>
      <c r="I26" s="119"/>
      <c r="J26" s="98"/>
      <c r="K26" s="98"/>
    </row>
    <row r="27" spans="1:11" ht="21.75" customHeight="1" hidden="1">
      <c r="A27" s="794"/>
      <c r="B27" s="226"/>
      <c r="C27" s="113">
        <f t="shared" si="0"/>
        <v>0</v>
      </c>
      <c r="D27" s="112"/>
      <c r="E27" s="112"/>
      <c r="F27" s="116"/>
      <c r="H27" s="119"/>
      <c r="I27" s="119"/>
      <c r="J27" s="98"/>
      <c r="K27" s="98"/>
    </row>
    <row r="28" spans="1:11" ht="21.75" customHeight="1" hidden="1">
      <c r="A28" s="794"/>
      <c r="B28" s="227"/>
      <c r="C28" s="113">
        <f t="shared" si="0"/>
        <v>0</v>
      </c>
      <c r="D28" s="112"/>
      <c r="E28" s="112"/>
      <c r="F28" s="116"/>
      <c r="H28" s="119"/>
      <c r="I28" s="119"/>
      <c r="J28" s="98"/>
      <c r="K28" s="98"/>
    </row>
    <row r="29" spans="1:11" ht="21.75" customHeight="1" hidden="1">
      <c r="A29" s="794"/>
      <c r="B29" s="227"/>
      <c r="C29" s="113">
        <f t="shared" si="0"/>
        <v>0</v>
      </c>
      <c r="D29" s="112"/>
      <c r="E29" s="112"/>
      <c r="F29" s="116"/>
      <c r="H29" s="119"/>
      <c r="I29" s="119"/>
      <c r="J29" s="98"/>
      <c r="K29" s="98"/>
    </row>
    <row r="30" spans="1:11" ht="42.75" customHeight="1" hidden="1">
      <c r="A30" s="794"/>
      <c r="B30" s="227"/>
      <c r="C30" s="112">
        <f t="shared" si="0"/>
        <v>0</v>
      </c>
      <c r="D30" s="112"/>
      <c r="E30" s="113"/>
      <c r="F30" s="116"/>
      <c r="H30" s="98"/>
      <c r="I30" s="98"/>
      <c r="J30" s="98"/>
      <c r="K30" s="98"/>
    </row>
    <row r="31" spans="1:11" ht="24.75" customHeight="1" hidden="1">
      <c r="A31" s="795"/>
      <c r="B31" s="232" t="s">
        <v>843</v>
      </c>
      <c r="C31" s="117">
        <f aca="true" t="shared" si="1" ref="C31:C44">D31+E31</f>
        <v>0</v>
      </c>
      <c r="D31" s="117">
        <f>SUM(D25:D30)</f>
        <v>0</v>
      </c>
      <c r="E31" s="117">
        <f>SUM(E25:E30)</f>
        <v>0</v>
      </c>
      <c r="F31" s="112">
        <f>SUM(F30:F30)</f>
        <v>0</v>
      </c>
      <c r="G31" s="112">
        <f>SUM(G30:G30)</f>
        <v>0</v>
      </c>
      <c r="H31" s="119" t="e">
        <f>'Дод.4'!#REF!</f>
        <v>#REF!</v>
      </c>
      <c r="I31" s="119" t="e">
        <f>'Дод.4'!#REF!</f>
        <v>#REF!</v>
      </c>
      <c r="J31" s="220" t="e">
        <f>H31-D31</f>
        <v>#REF!</v>
      </c>
      <c r="K31" s="220" t="e">
        <f>I31-E31</f>
        <v>#REF!</v>
      </c>
    </row>
    <row r="32" spans="1:11" ht="23.25" customHeight="1" hidden="1">
      <c r="A32" s="794" t="s">
        <v>821</v>
      </c>
      <c r="B32" s="227"/>
      <c r="C32" s="112">
        <f t="shared" si="1"/>
        <v>0</v>
      </c>
      <c r="D32" s="112"/>
      <c r="E32" s="112"/>
      <c r="F32" s="168"/>
      <c r="G32" s="168"/>
      <c r="H32" s="119"/>
      <c r="I32" s="119"/>
      <c r="J32" s="98"/>
      <c r="K32" s="98"/>
    </row>
    <row r="33" spans="1:11" ht="23.25" customHeight="1" hidden="1">
      <c r="A33" s="794"/>
      <c r="B33" s="227"/>
      <c r="C33" s="112">
        <f t="shared" si="1"/>
        <v>0</v>
      </c>
      <c r="D33" s="112"/>
      <c r="E33" s="112"/>
      <c r="F33" s="168"/>
      <c r="G33" s="168"/>
      <c r="H33" s="119"/>
      <c r="I33" s="119"/>
      <c r="J33" s="98"/>
      <c r="K33" s="98"/>
    </row>
    <row r="34" spans="1:11" ht="23.25" customHeight="1" hidden="1">
      <c r="A34" s="794"/>
      <c r="B34" s="227"/>
      <c r="C34" s="112">
        <f>D34+E34</f>
        <v>0</v>
      </c>
      <c r="D34" s="112"/>
      <c r="E34" s="112"/>
      <c r="F34" s="168"/>
      <c r="G34" s="168"/>
      <c r="H34" s="119"/>
      <c r="I34" s="119"/>
      <c r="J34" s="98"/>
      <c r="K34" s="98"/>
    </row>
    <row r="35" spans="1:11" ht="23.25" customHeight="1" hidden="1">
      <c r="A35" s="794"/>
      <c r="B35" s="227"/>
      <c r="C35" s="112">
        <f t="shared" si="1"/>
        <v>0</v>
      </c>
      <c r="D35" s="112"/>
      <c r="E35" s="112"/>
      <c r="F35" s="168"/>
      <c r="G35" s="168"/>
      <c r="H35" s="119"/>
      <c r="I35" s="119"/>
      <c r="J35" s="98"/>
      <c r="K35" s="98"/>
    </row>
    <row r="36" spans="1:11" ht="23.25" customHeight="1" hidden="1">
      <c r="A36" s="794"/>
      <c r="B36" s="227"/>
      <c r="C36" s="112">
        <f t="shared" si="1"/>
        <v>0</v>
      </c>
      <c r="D36" s="112"/>
      <c r="E36" s="112"/>
      <c r="F36" s="168"/>
      <c r="G36" s="168"/>
      <c r="H36" s="119"/>
      <c r="I36" s="119"/>
      <c r="J36" s="98"/>
      <c r="K36" s="98"/>
    </row>
    <row r="37" spans="1:11" ht="23.25" customHeight="1" hidden="1">
      <c r="A37" s="794"/>
      <c r="B37" s="227"/>
      <c r="C37" s="112">
        <f t="shared" si="1"/>
        <v>0</v>
      </c>
      <c r="D37" s="112"/>
      <c r="E37" s="112"/>
      <c r="F37" s="168"/>
      <c r="G37" s="168"/>
      <c r="H37" s="119"/>
      <c r="I37" s="119"/>
      <c r="J37" s="98"/>
      <c r="K37" s="98"/>
    </row>
    <row r="38" spans="1:11" ht="23.25" customHeight="1" hidden="1">
      <c r="A38" s="794"/>
      <c r="B38" s="227"/>
      <c r="C38" s="112">
        <f t="shared" si="1"/>
        <v>0</v>
      </c>
      <c r="D38" s="112"/>
      <c r="E38" s="112"/>
      <c r="F38" s="168"/>
      <c r="G38" s="168"/>
      <c r="H38" s="119"/>
      <c r="I38" s="119"/>
      <c r="J38" s="98"/>
      <c r="K38" s="98"/>
    </row>
    <row r="39" spans="1:11" ht="23.25" customHeight="1" hidden="1">
      <c r="A39" s="794"/>
      <c r="B39" s="227"/>
      <c r="C39" s="112">
        <f>D39+E39</f>
        <v>0</v>
      </c>
      <c r="D39" s="112"/>
      <c r="E39" s="112"/>
      <c r="F39" s="168"/>
      <c r="G39" s="168"/>
      <c r="H39" s="119"/>
      <c r="I39" s="119"/>
      <c r="J39" s="98"/>
      <c r="K39" s="98"/>
    </row>
    <row r="40" spans="1:11" ht="23.25" customHeight="1" hidden="1">
      <c r="A40" s="794"/>
      <c r="B40" s="227"/>
      <c r="C40" s="112">
        <f>D40+E40</f>
        <v>0</v>
      </c>
      <c r="D40" s="112"/>
      <c r="E40" s="112"/>
      <c r="F40" s="168"/>
      <c r="G40" s="168"/>
      <c r="H40" s="119"/>
      <c r="I40" s="119"/>
      <c r="J40" s="98"/>
      <c r="K40" s="98"/>
    </row>
    <row r="41" spans="1:11" ht="23.25" customHeight="1" hidden="1">
      <c r="A41" s="794"/>
      <c r="B41" s="227"/>
      <c r="C41" s="112">
        <f t="shared" si="1"/>
        <v>0</v>
      </c>
      <c r="D41" s="112"/>
      <c r="E41" s="112"/>
      <c r="F41" s="168"/>
      <c r="G41" s="168"/>
      <c r="H41" s="119"/>
      <c r="I41" s="119"/>
      <c r="J41" s="98"/>
      <c r="K41" s="98"/>
    </row>
    <row r="42" spans="1:11" ht="23.25" customHeight="1" hidden="1">
      <c r="A42" s="794"/>
      <c r="B42" s="227"/>
      <c r="C42" s="112">
        <f t="shared" si="1"/>
        <v>0</v>
      </c>
      <c r="D42" s="117"/>
      <c r="E42" s="112"/>
      <c r="F42" s="168"/>
      <c r="G42" s="168"/>
      <c r="H42" s="119"/>
      <c r="I42" s="119"/>
      <c r="J42" s="98"/>
      <c r="K42" s="98"/>
    </row>
    <row r="43" spans="1:11" ht="23.25" customHeight="1" hidden="1">
      <c r="A43" s="794"/>
      <c r="B43" s="227"/>
      <c r="C43" s="112">
        <f t="shared" si="1"/>
        <v>0</v>
      </c>
      <c r="D43" s="112"/>
      <c r="E43" s="112"/>
      <c r="F43" s="168"/>
      <c r="G43" s="168"/>
      <c r="H43" s="119"/>
      <c r="I43" s="119"/>
      <c r="J43" s="98"/>
      <c r="K43" s="98"/>
    </row>
    <row r="44" spans="1:11" ht="42.75" customHeight="1">
      <c r="A44" s="794"/>
      <c r="B44" s="227" t="s">
        <v>845</v>
      </c>
      <c r="C44" s="112">
        <f t="shared" si="1"/>
        <v>696884</v>
      </c>
      <c r="D44" s="113">
        <f>'Дод.4'!Y17</f>
        <v>696884</v>
      </c>
      <c r="E44" s="113"/>
      <c r="F44" s="116"/>
      <c r="H44" s="98"/>
      <c r="I44" s="120"/>
      <c r="J44" s="98"/>
      <c r="K44" s="98"/>
    </row>
    <row r="45" spans="1:11" ht="28.5" customHeight="1">
      <c r="A45" s="795"/>
      <c r="B45" s="232" t="s">
        <v>843</v>
      </c>
      <c r="C45" s="117">
        <f aca="true" t="shared" si="2" ref="C45:C58">D45+E45</f>
        <v>696884</v>
      </c>
      <c r="D45" s="117">
        <f>SUM(D32:D44)</f>
        <v>696884</v>
      </c>
      <c r="E45" s="117">
        <f>SUM(E32:E44)</f>
        <v>0</v>
      </c>
      <c r="F45" s="117">
        <f>SUM(F32:F44)</f>
        <v>0</v>
      </c>
      <c r="G45" s="117">
        <f>SUM(G32:G44)</f>
        <v>0</v>
      </c>
      <c r="H45" s="119">
        <f>'Дод.4'!X17</f>
        <v>696884</v>
      </c>
      <c r="I45" s="119">
        <f>'Дод.4'!AC17</f>
        <v>0</v>
      </c>
      <c r="J45" s="220">
        <f>H45-D45</f>
        <v>0</v>
      </c>
      <c r="K45" s="220">
        <f>I45-E45</f>
        <v>0</v>
      </c>
    </row>
    <row r="46" spans="1:11" ht="33" customHeight="1" hidden="1">
      <c r="A46" s="794" t="s">
        <v>822</v>
      </c>
      <c r="B46" s="227"/>
      <c r="C46" s="112">
        <f t="shared" si="2"/>
        <v>0</v>
      </c>
      <c r="D46" s="112"/>
      <c r="E46" s="112"/>
      <c r="F46" s="169"/>
      <c r="G46" s="169"/>
      <c r="H46" s="119"/>
      <c r="I46" s="119"/>
      <c r="J46" s="98"/>
      <c r="K46" s="98"/>
    </row>
    <row r="47" spans="1:11" ht="33" customHeight="1" hidden="1">
      <c r="A47" s="794"/>
      <c r="B47" s="227"/>
      <c r="C47" s="112">
        <f t="shared" si="2"/>
        <v>0</v>
      </c>
      <c r="D47" s="112"/>
      <c r="E47" s="112"/>
      <c r="F47" s="169"/>
      <c r="G47" s="169"/>
      <c r="H47" s="119"/>
      <c r="I47" s="119"/>
      <c r="J47" s="98"/>
      <c r="K47" s="98"/>
    </row>
    <row r="48" spans="1:11" ht="30" customHeight="1" hidden="1">
      <c r="A48" s="794"/>
      <c r="B48" s="227"/>
      <c r="C48" s="112">
        <f>D48+E48</f>
        <v>0</v>
      </c>
      <c r="D48" s="112"/>
      <c r="E48" s="112"/>
      <c r="F48" s="169"/>
      <c r="G48" s="169"/>
      <c r="H48" s="119"/>
      <c r="I48" s="119"/>
      <c r="J48" s="98"/>
      <c r="K48" s="98"/>
    </row>
    <row r="49" spans="1:11" ht="43.5" customHeight="1" hidden="1">
      <c r="A49" s="794"/>
      <c r="B49" s="227"/>
      <c r="C49" s="112">
        <f>D49+E49</f>
        <v>0</v>
      </c>
      <c r="D49" s="112"/>
      <c r="E49" s="112"/>
      <c r="F49" s="169"/>
      <c r="G49" s="169"/>
      <c r="H49" s="119"/>
      <c r="I49" s="119"/>
      <c r="J49" s="98"/>
      <c r="K49" s="98"/>
    </row>
    <row r="50" spans="1:11" ht="28.5" customHeight="1" hidden="1">
      <c r="A50" s="794"/>
      <c r="B50" s="227"/>
      <c r="C50" s="112">
        <f>D50+E50</f>
        <v>0</v>
      </c>
      <c r="D50" s="112"/>
      <c r="E50" s="112"/>
      <c r="F50" s="169"/>
      <c r="G50" s="169"/>
      <c r="H50" s="119"/>
      <c r="I50" s="119"/>
      <c r="J50" s="98"/>
      <c r="K50" s="98"/>
    </row>
    <row r="51" spans="1:11" ht="44.25" customHeight="1" hidden="1">
      <c r="A51" s="794"/>
      <c r="B51" s="227"/>
      <c r="C51" s="112">
        <f t="shared" si="2"/>
        <v>0</v>
      </c>
      <c r="D51" s="112"/>
      <c r="E51" s="112"/>
      <c r="F51" s="169"/>
      <c r="G51" s="169"/>
      <c r="H51" s="119"/>
      <c r="I51" s="119"/>
      <c r="J51" s="98"/>
      <c r="K51" s="98"/>
    </row>
    <row r="52" spans="1:11" ht="44.25" customHeight="1" hidden="1">
      <c r="A52" s="794"/>
      <c r="B52" s="227"/>
      <c r="C52" s="112">
        <f t="shared" si="2"/>
        <v>0</v>
      </c>
      <c r="D52" s="112"/>
      <c r="E52" s="112"/>
      <c r="F52" s="169"/>
      <c r="G52" s="169"/>
      <c r="H52" s="119"/>
      <c r="I52" s="119"/>
      <c r="J52" s="98"/>
      <c r="K52" s="98"/>
    </row>
    <row r="53" spans="1:11" ht="44.25" customHeight="1" hidden="1">
      <c r="A53" s="794"/>
      <c r="B53" s="227"/>
      <c r="C53" s="112">
        <f t="shared" si="2"/>
        <v>0</v>
      </c>
      <c r="D53" s="112"/>
      <c r="E53" s="112"/>
      <c r="F53" s="169"/>
      <c r="G53" s="169"/>
      <c r="H53" s="119"/>
      <c r="I53" s="119"/>
      <c r="J53" s="98"/>
      <c r="K53" s="98"/>
    </row>
    <row r="54" spans="1:11" ht="30.75" customHeight="1" hidden="1">
      <c r="A54" s="794"/>
      <c r="B54" s="227"/>
      <c r="C54" s="112">
        <f t="shared" si="2"/>
        <v>0</v>
      </c>
      <c r="D54" s="112"/>
      <c r="E54" s="112"/>
      <c r="F54" s="169"/>
      <c r="G54" s="169"/>
      <c r="H54" s="119"/>
      <c r="I54" s="119"/>
      <c r="J54" s="98"/>
      <c r="K54" s="98"/>
    </row>
    <row r="55" spans="1:11" ht="36" customHeight="1" hidden="1">
      <c r="A55" s="794"/>
      <c r="B55" s="227"/>
      <c r="C55" s="112">
        <f t="shared" si="2"/>
        <v>0</v>
      </c>
      <c r="D55" s="112"/>
      <c r="E55" s="112"/>
      <c r="F55" s="169"/>
      <c r="G55" s="169"/>
      <c r="H55" s="119"/>
      <c r="I55" s="119"/>
      <c r="J55" s="98"/>
      <c r="K55" s="98"/>
    </row>
    <row r="56" spans="1:11" ht="38.25" customHeight="1" hidden="1">
      <c r="A56" s="794"/>
      <c r="B56" s="227"/>
      <c r="C56" s="112">
        <f t="shared" si="2"/>
        <v>0</v>
      </c>
      <c r="D56" s="112"/>
      <c r="E56" s="112"/>
      <c r="F56" s="169"/>
      <c r="G56" s="169"/>
      <c r="H56" s="119"/>
      <c r="I56" s="119"/>
      <c r="J56" s="98"/>
      <c r="K56" s="98"/>
    </row>
    <row r="57" spans="1:11" ht="102" customHeight="1">
      <c r="A57" s="794"/>
      <c r="B57" s="227" t="s">
        <v>800</v>
      </c>
      <c r="C57" s="112">
        <f t="shared" si="2"/>
        <v>50000</v>
      </c>
      <c r="D57" s="112"/>
      <c r="E57" s="112">
        <v>50000</v>
      </c>
      <c r="F57" s="169"/>
      <c r="G57" s="169"/>
      <c r="H57" s="119"/>
      <c r="I57" s="119"/>
      <c r="J57" s="98"/>
      <c r="K57" s="98"/>
    </row>
    <row r="58" spans="1:11" ht="39" customHeight="1">
      <c r="A58" s="794"/>
      <c r="B58" s="227" t="s">
        <v>845</v>
      </c>
      <c r="C58" s="112">
        <f t="shared" si="2"/>
        <v>3575277</v>
      </c>
      <c r="D58" s="121">
        <f>'Дод.4'!Y18</f>
        <v>3575277</v>
      </c>
      <c r="E58" s="113"/>
      <c r="F58" s="116"/>
      <c r="H58" s="98"/>
      <c r="I58" s="98"/>
      <c r="J58" s="98"/>
      <c r="K58" s="98"/>
    </row>
    <row r="59" spans="1:11" ht="30" customHeight="1">
      <c r="A59" s="795"/>
      <c r="B59" s="232" t="s">
        <v>843</v>
      </c>
      <c r="C59" s="117">
        <f aca="true" t="shared" si="3" ref="C59:C65">D59+E59</f>
        <v>3625277</v>
      </c>
      <c r="D59" s="122">
        <f>SUM(D46:D58)</f>
        <v>3575277</v>
      </c>
      <c r="E59" s="122">
        <f>SUM(E46:E58)</f>
        <v>50000</v>
      </c>
      <c r="F59" s="123">
        <f>SUM(F58:F58)</f>
        <v>0</v>
      </c>
      <c r="G59" s="123">
        <f>SUM(G58:G58)</f>
        <v>0</v>
      </c>
      <c r="H59" s="119">
        <f>'Дод.4'!X18</f>
        <v>3575277</v>
      </c>
      <c r="I59" s="119">
        <f>'Дод.4'!AC18</f>
        <v>50000</v>
      </c>
      <c r="J59" s="220">
        <f>H59-D59</f>
        <v>0</v>
      </c>
      <c r="K59" s="220">
        <f>I59-E59</f>
        <v>0</v>
      </c>
    </row>
    <row r="60" spans="1:11" ht="45.75" customHeight="1" hidden="1">
      <c r="A60" s="796" t="s">
        <v>823</v>
      </c>
      <c r="B60" s="227"/>
      <c r="C60" s="112">
        <f t="shared" si="3"/>
        <v>0</v>
      </c>
      <c r="D60" s="121"/>
      <c r="E60" s="121"/>
      <c r="F60" s="170"/>
      <c r="G60" s="170"/>
      <c r="H60" s="119"/>
      <c r="I60" s="119"/>
      <c r="J60" s="98"/>
      <c r="K60" s="98"/>
    </row>
    <row r="61" spans="1:11" ht="45.75" customHeight="1" hidden="1">
      <c r="A61" s="794"/>
      <c r="B61" s="227"/>
      <c r="C61" s="112">
        <f t="shared" si="3"/>
        <v>0</v>
      </c>
      <c r="D61" s="121"/>
      <c r="E61" s="121"/>
      <c r="F61" s="170"/>
      <c r="G61" s="170"/>
      <c r="H61" s="119"/>
      <c r="I61" s="119"/>
      <c r="J61" s="98"/>
      <c r="K61" s="98"/>
    </row>
    <row r="62" spans="1:11" ht="48" customHeight="1" hidden="1">
      <c r="A62" s="794"/>
      <c r="B62" s="227"/>
      <c r="C62" s="112">
        <f t="shared" si="3"/>
        <v>0</v>
      </c>
      <c r="D62" s="163"/>
      <c r="E62" s="163"/>
      <c r="F62" s="170"/>
      <c r="G62" s="170"/>
      <c r="H62" s="119"/>
      <c r="I62" s="119"/>
      <c r="J62" s="98"/>
      <c r="K62" s="98"/>
    </row>
    <row r="63" spans="1:11" ht="30" customHeight="1" hidden="1">
      <c r="A63" s="794"/>
      <c r="B63" s="227"/>
      <c r="C63" s="112">
        <f t="shared" si="3"/>
        <v>0</v>
      </c>
      <c r="D63" s="163"/>
      <c r="E63" s="163"/>
      <c r="F63" s="170"/>
      <c r="G63" s="170"/>
      <c r="H63" s="119"/>
      <c r="I63" s="119"/>
      <c r="J63" s="98"/>
      <c r="K63" s="98"/>
    </row>
    <row r="64" spans="1:11" ht="33" customHeight="1" hidden="1">
      <c r="A64" s="794"/>
      <c r="B64" s="227"/>
      <c r="C64" s="112">
        <f t="shared" si="3"/>
        <v>0</v>
      </c>
      <c r="D64" s="121"/>
      <c r="E64" s="121"/>
      <c r="F64" s="170"/>
      <c r="G64" s="170"/>
      <c r="H64" s="119"/>
      <c r="I64" s="119"/>
      <c r="J64" s="98"/>
      <c r="K64" s="98"/>
    </row>
    <row r="65" spans="1:11" ht="37.5" customHeight="1">
      <c r="A65" s="794"/>
      <c r="B65" s="227" t="s">
        <v>845</v>
      </c>
      <c r="C65" s="112">
        <f t="shared" si="3"/>
        <v>340958</v>
      </c>
      <c r="D65" s="121">
        <f>'Дод.4'!Y19</f>
        <v>340958</v>
      </c>
      <c r="E65" s="113"/>
      <c r="F65" s="116"/>
      <c r="H65" s="98"/>
      <c r="I65" s="98"/>
      <c r="J65" s="98"/>
      <c r="K65" s="98"/>
    </row>
    <row r="66" spans="1:11" ht="24" customHeight="1">
      <c r="A66" s="795"/>
      <c r="B66" s="232" t="s">
        <v>843</v>
      </c>
      <c r="C66" s="117">
        <f aca="true" t="shared" si="4" ref="C66:C76">D66+E66</f>
        <v>340958</v>
      </c>
      <c r="D66" s="122">
        <f>SUM(D60:D65)</f>
        <v>340958</v>
      </c>
      <c r="E66" s="122">
        <f>SUM(E60:E65)</f>
        <v>0</v>
      </c>
      <c r="F66" s="123">
        <f>SUM(F65:F65)</f>
        <v>0</v>
      </c>
      <c r="G66" s="123">
        <f>SUM(G65:G65)</f>
        <v>0</v>
      </c>
      <c r="H66" s="119">
        <f>'Дод.4'!X19</f>
        <v>340958</v>
      </c>
      <c r="I66" s="119">
        <f>'Дод.4'!AC19</f>
        <v>0</v>
      </c>
      <c r="J66" s="220">
        <f>H66-D66</f>
        <v>0</v>
      </c>
      <c r="K66" s="220">
        <f>I66-E66</f>
        <v>0</v>
      </c>
    </row>
    <row r="67" spans="1:11" ht="44.25" customHeight="1" hidden="1">
      <c r="A67" s="794" t="s">
        <v>720</v>
      </c>
      <c r="B67" s="226"/>
      <c r="C67" s="113">
        <f t="shared" si="4"/>
        <v>0</v>
      </c>
      <c r="D67" s="112"/>
      <c r="E67" s="112"/>
      <c r="F67" s="170"/>
      <c r="G67" s="170"/>
      <c r="H67" s="119"/>
      <c r="I67" s="119"/>
      <c r="J67" s="98"/>
      <c r="K67" s="98"/>
    </row>
    <row r="68" spans="1:11" ht="30.75" customHeight="1" hidden="1">
      <c r="A68" s="794"/>
      <c r="B68" s="226"/>
      <c r="C68" s="113">
        <f t="shared" si="4"/>
        <v>0</v>
      </c>
      <c r="D68" s="112"/>
      <c r="E68" s="112"/>
      <c r="F68" s="170"/>
      <c r="G68" s="170"/>
      <c r="H68" s="119"/>
      <c r="I68" s="119"/>
      <c r="J68" s="98"/>
      <c r="K68" s="98"/>
    </row>
    <row r="69" spans="1:11" ht="30.75" customHeight="1" hidden="1">
      <c r="A69" s="794"/>
      <c r="B69" s="226"/>
      <c r="C69" s="113">
        <f>D69+E69</f>
        <v>0</v>
      </c>
      <c r="D69" s="112"/>
      <c r="E69" s="112"/>
      <c r="F69" s="170"/>
      <c r="G69" s="170"/>
      <c r="H69" s="119"/>
      <c r="I69" s="119"/>
      <c r="J69" s="98"/>
      <c r="K69" s="98"/>
    </row>
    <row r="70" spans="1:11" ht="42.75" customHeight="1" hidden="1">
      <c r="A70" s="794"/>
      <c r="B70" s="226"/>
      <c r="C70" s="113">
        <f t="shared" si="4"/>
        <v>0</v>
      </c>
      <c r="D70" s="112"/>
      <c r="E70" s="112"/>
      <c r="F70" s="170"/>
      <c r="G70" s="170"/>
      <c r="H70" s="119"/>
      <c r="I70" s="119"/>
      <c r="J70" s="98"/>
      <c r="K70" s="98"/>
    </row>
    <row r="71" spans="1:11" ht="42.75" customHeight="1" hidden="1">
      <c r="A71" s="794"/>
      <c r="B71" s="226"/>
      <c r="C71" s="113">
        <f t="shared" si="4"/>
        <v>0</v>
      </c>
      <c r="D71" s="112"/>
      <c r="E71" s="112"/>
      <c r="F71" s="170"/>
      <c r="G71" s="170"/>
      <c r="H71" s="119"/>
      <c r="I71" s="119"/>
      <c r="J71" s="98"/>
      <c r="K71" s="98"/>
    </row>
    <row r="72" spans="1:11" ht="27.75" customHeight="1" hidden="1">
      <c r="A72" s="794"/>
      <c r="B72" s="226"/>
      <c r="C72" s="113">
        <f>D72+E72</f>
        <v>0</v>
      </c>
      <c r="D72" s="112"/>
      <c r="E72" s="112"/>
      <c r="F72" s="170"/>
      <c r="G72" s="170"/>
      <c r="H72" s="119"/>
      <c r="I72" s="119"/>
      <c r="J72" s="98"/>
      <c r="K72" s="98"/>
    </row>
    <row r="73" spans="1:11" ht="42" customHeight="1" hidden="1">
      <c r="A73" s="794"/>
      <c r="B73" s="227"/>
      <c r="C73" s="113">
        <f t="shared" si="4"/>
        <v>0</v>
      </c>
      <c r="D73" s="112"/>
      <c r="E73" s="112"/>
      <c r="F73" s="170"/>
      <c r="G73" s="170"/>
      <c r="H73" s="119"/>
      <c r="I73" s="119"/>
      <c r="J73" s="98"/>
      <c r="K73" s="98"/>
    </row>
    <row r="74" spans="1:11" ht="42" customHeight="1" hidden="1">
      <c r="A74" s="794"/>
      <c r="B74" s="227"/>
      <c r="C74" s="113">
        <f>D74+E74</f>
        <v>0</v>
      </c>
      <c r="D74" s="112"/>
      <c r="E74" s="112"/>
      <c r="F74" s="170"/>
      <c r="G74" s="170"/>
      <c r="H74" s="119"/>
      <c r="I74" s="119"/>
      <c r="J74" s="98"/>
      <c r="K74" s="98"/>
    </row>
    <row r="75" spans="1:11" ht="47.25" customHeight="1" hidden="1">
      <c r="A75" s="794"/>
      <c r="B75" s="227"/>
      <c r="C75" s="113">
        <f t="shared" si="4"/>
        <v>0</v>
      </c>
      <c r="D75" s="112"/>
      <c r="E75" s="112"/>
      <c r="F75" s="170"/>
      <c r="G75" s="170"/>
      <c r="H75" s="119"/>
      <c r="I75" s="119"/>
      <c r="J75" s="98"/>
      <c r="K75" s="98"/>
    </row>
    <row r="76" spans="1:11" ht="41.25" customHeight="1" hidden="1">
      <c r="A76" s="794"/>
      <c r="B76" s="227"/>
      <c r="C76" s="112">
        <f t="shared" si="4"/>
        <v>0</v>
      </c>
      <c r="D76" s="121"/>
      <c r="E76" s="113"/>
      <c r="F76" s="116"/>
      <c r="H76" s="98"/>
      <c r="I76" s="98"/>
      <c r="J76" s="98"/>
      <c r="K76" s="98"/>
    </row>
    <row r="77" spans="1:11" ht="31.5" customHeight="1" hidden="1">
      <c r="A77" s="795"/>
      <c r="B77" s="232" t="s">
        <v>843</v>
      </c>
      <c r="C77" s="117">
        <f aca="true" t="shared" si="5" ref="C77:C82">D77+E77</f>
        <v>0</v>
      </c>
      <c r="D77" s="122">
        <f>SUM(D67:D76)</f>
        <v>0</v>
      </c>
      <c r="E77" s="122">
        <f>SUM(E67:E76)</f>
        <v>0</v>
      </c>
      <c r="F77" s="116"/>
      <c r="H77" s="119">
        <f>'Дод.4'!X20</f>
        <v>0</v>
      </c>
      <c r="I77" s="119">
        <f>'Дод.4'!AC20</f>
        <v>0</v>
      </c>
      <c r="J77" s="220">
        <f>H77-D77</f>
        <v>0</v>
      </c>
      <c r="K77" s="220">
        <f>I77-E77</f>
        <v>0</v>
      </c>
    </row>
    <row r="78" spans="1:11" ht="65.25" customHeight="1" hidden="1">
      <c r="A78" s="796" t="s">
        <v>824</v>
      </c>
      <c r="B78" s="227"/>
      <c r="C78" s="112">
        <f t="shared" si="5"/>
        <v>0</v>
      </c>
      <c r="D78" s="121"/>
      <c r="E78" s="121"/>
      <c r="F78" s="116"/>
      <c r="H78" s="119"/>
      <c r="I78" s="119"/>
      <c r="J78" s="98"/>
      <c r="K78" s="98"/>
    </row>
    <row r="79" spans="1:11" ht="63" customHeight="1" hidden="1">
      <c r="A79" s="794"/>
      <c r="B79" s="227"/>
      <c r="C79" s="112">
        <f t="shared" si="5"/>
        <v>0</v>
      </c>
      <c r="D79" s="121"/>
      <c r="E79" s="121"/>
      <c r="F79" s="116"/>
      <c r="H79" s="119"/>
      <c r="I79" s="119"/>
      <c r="J79" s="98"/>
      <c r="K79" s="98"/>
    </row>
    <row r="80" spans="1:11" ht="54" customHeight="1" hidden="1">
      <c r="A80" s="794"/>
      <c r="B80" s="227"/>
      <c r="C80" s="112">
        <f t="shared" si="5"/>
        <v>0</v>
      </c>
      <c r="D80" s="121"/>
      <c r="E80" s="121"/>
      <c r="F80" s="116"/>
      <c r="H80" s="119"/>
      <c r="I80" s="119"/>
      <c r="J80" s="98"/>
      <c r="K80" s="98"/>
    </row>
    <row r="81" spans="1:11" ht="42.75" customHeight="1" hidden="1">
      <c r="A81" s="794"/>
      <c r="B81" s="227"/>
      <c r="C81" s="112">
        <f>D81+E81</f>
        <v>0</v>
      </c>
      <c r="D81" s="121"/>
      <c r="E81" s="121"/>
      <c r="F81" s="116"/>
      <c r="H81" s="119"/>
      <c r="I81" s="119"/>
      <c r="J81" s="98"/>
      <c r="K81" s="98"/>
    </row>
    <row r="82" spans="1:11" ht="46.5" customHeight="1">
      <c r="A82" s="794"/>
      <c r="B82" s="227" t="s">
        <v>845</v>
      </c>
      <c r="C82" s="112">
        <f t="shared" si="5"/>
        <v>262438</v>
      </c>
      <c r="D82" s="121">
        <f>'Дод.4'!Y21</f>
        <v>262438</v>
      </c>
      <c r="E82" s="113"/>
      <c r="F82" s="116"/>
      <c r="H82" s="98"/>
      <c r="I82" s="98"/>
      <c r="J82" s="98"/>
      <c r="K82" s="98"/>
    </row>
    <row r="83" spans="1:11" ht="27" customHeight="1">
      <c r="A83" s="795"/>
      <c r="B83" s="232" t="s">
        <v>843</v>
      </c>
      <c r="C83" s="117">
        <f aca="true" t="shared" si="6" ref="C83:C93">D83+E83</f>
        <v>262438</v>
      </c>
      <c r="D83" s="122">
        <f>SUM(D78:D82)</f>
        <v>262438</v>
      </c>
      <c r="E83" s="122">
        <f>SUM(E78:E82)</f>
        <v>0</v>
      </c>
      <c r="F83" s="116"/>
      <c r="H83" s="119">
        <f>'Дод.4'!X21</f>
        <v>262438</v>
      </c>
      <c r="I83" s="119">
        <f>'Дод.4'!AC21</f>
        <v>0</v>
      </c>
      <c r="J83" s="220">
        <f>H83-D83</f>
        <v>0</v>
      </c>
      <c r="K83" s="220">
        <f>I83-E83</f>
        <v>0</v>
      </c>
    </row>
    <row r="84" spans="1:11" ht="28.5" customHeight="1" hidden="1">
      <c r="A84" s="794" t="s">
        <v>825</v>
      </c>
      <c r="B84" s="225"/>
      <c r="C84" s="112">
        <f>D84+E84</f>
        <v>0</v>
      </c>
      <c r="D84" s="166"/>
      <c r="E84" s="121"/>
      <c r="F84" s="116"/>
      <c r="H84" s="119"/>
      <c r="I84" s="98"/>
      <c r="J84" s="98"/>
      <c r="K84" s="98"/>
    </row>
    <row r="85" spans="1:11" ht="27.75" customHeight="1" hidden="1">
      <c r="A85" s="794"/>
      <c r="B85" s="225"/>
      <c r="C85" s="112">
        <f>D85+E85</f>
        <v>0</v>
      </c>
      <c r="D85" s="166"/>
      <c r="E85" s="121"/>
      <c r="F85" s="116"/>
      <c r="H85" s="119"/>
      <c r="I85" s="98"/>
      <c r="J85" s="98"/>
      <c r="K85" s="98"/>
    </row>
    <row r="86" spans="1:11" ht="45" customHeight="1" hidden="1">
      <c r="A86" s="794"/>
      <c r="B86" s="225"/>
      <c r="C86" s="112">
        <f>D86+E86</f>
        <v>0</v>
      </c>
      <c r="D86" s="223"/>
      <c r="E86" s="163"/>
      <c r="F86" s="116"/>
      <c r="H86" s="119"/>
      <c r="I86" s="98"/>
      <c r="J86" s="98"/>
      <c r="K86" s="98"/>
    </row>
    <row r="87" spans="1:11" ht="42.75" customHeight="1" hidden="1">
      <c r="A87" s="794"/>
      <c r="B87" s="225"/>
      <c r="C87" s="112">
        <f t="shared" si="6"/>
        <v>0</v>
      </c>
      <c r="D87" s="166"/>
      <c r="E87" s="121"/>
      <c r="F87" s="116"/>
      <c r="H87" s="119"/>
      <c r="I87" s="98"/>
      <c r="J87" s="98"/>
      <c r="K87" s="98"/>
    </row>
    <row r="88" spans="1:11" ht="42" customHeight="1" hidden="1">
      <c r="A88" s="794"/>
      <c r="B88" s="225"/>
      <c r="C88" s="112">
        <f t="shared" si="6"/>
        <v>0</v>
      </c>
      <c r="D88" s="166"/>
      <c r="E88" s="121"/>
      <c r="F88" s="116"/>
      <c r="H88" s="119"/>
      <c r="I88" s="98"/>
      <c r="J88" s="98"/>
      <c r="K88" s="98"/>
    </row>
    <row r="89" spans="1:11" ht="49.5" customHeight="1">
      <c r="A89" s="794"/>
      <c r="B89" s="895" t="s">
        <v>639</v>
      </c>
      <c r="C89" s="896">
        <f t="shared" si="6"/>
        <v>75396</v>
      </c>
      <c r="D89" s="897">
        <v>75396</v>
      </c>
      <c r="E89" s="897"/>
      <c r="F89" s="116"/>
      <c r="H89" s="98"/>
      <c r="I89" s="120"/>
      <c r="J89" s="98"/>
      <c r="K89" s="98"/>
    </row>
    <row r="90" spans="1:11" ht="49.5" customHeight="1">
      <c r="A90" s="794"/>
      <c r="B90" s="227" t="s">
        <v>845</v>
      </c>
      <c r="C90" s="112">
        <f>D90+E90</f>
        <v>215588</v>
      </c>
      <c r="D90" s="113">
        <f>'Дод.4'!Y22</f>
        <v>215588</v>
      </c>
      <c r="E90" s="113"/>
      <c r="F90" s="116"/>
      <c r="H90" s="98"/>
      <c r="I90" s="120"/>
      <c r="J90" s="98"/>
      <c r="K90" s="98"/>
    </row>
    <row r="91" spans="1:11" ht="24.75" customHeight="1">
      <c r="A91" s="795"/>
      <c r="B91" s="232" t="s">
        <v>843</v>
      </c>
      <c r="C91" s="117">
        <f>D91+E91</f>
        <v>290984</v>
      </c>
      <c r="D91" s="124">
        <f>SUM(D84:D90)</f>
        <v>290984</v>
      </c>
      <c r="E91" s="124">
        <f>SUM(E84:E90)</f>
        <v>0</v>
      </c>
      <c r="F91" s="187"/>
      <c r="G91" s="125"/>
      <c r="H91" s="119">
        <f>'Дод.4'!X22</f>
        <v>290984</v>
      </c>
      <c r="I91" s="184">
        <f>'Дод.4'!AC22</f>
        <v>0</v>
      </c>
      <c r="J91" s="220">
        <f>H91-D91</f>
        <v>0</v>
      </c>
      <c r="K91" s="220">
        <f>I91-E91</f>
        <v>0</v>
      </c>
    </row>
    <row r="92" spans="1:11" ht="45.75" customHeight="1" hidden="1">
      <c r="A92" s="794" t="s">
        <v>826</v>
      </c>
      <c r="B92" s="492"/>
      <c r="C92" s="121">
        <f t="shared" si="6"/>
        <v>0</v>
      </c>
      <c r="D92" s="121"/>
      <c r="E92" s="113"/>
      <c r="F92" s="116"/>
      <c r="H92" s="119"/>
      <c r="I92" s="120"/>
      <c r="J92" s="98"/>
      <c r="K92" s="98"/>
    </row>
    <row r="93" spans="1:11" ht="33.75" customHeight="1" hidden="1">
      <c r="A93" s="794"/>
      <c r="B93" s="492"/>
      <c r="C93" s="121">
        <f t="shared" si="6"/>
        <v>0</v>
      </c>
      <c r="D93" s="121"/>
      <c r="E93" s="113"/>
      <c r="F93" s="116"/>
      <c r="H93" s="119"/>
      <c r="I93" s="120"/>
      <c r="J93" s="98"/>
      <c r="K93" s="98"/>
    </row>
    <row r="94" spans="1:11" ht="39.75" customHeight="1" hidden="1">
      <c r="A94" s="794"/>
      <c r="B94" s="227"/>
      <c r="C94" s="112">
        <f aca="true" t="shared" si="7" ref="C94:C108">D94+E94</f>
        <v>0</v>
      </c>
      <c r="D94" s="113"/>
      <c r="E94" s="113"/>
      <c r="F94" s="116"/>
      <c r="H94" s="119"/>
      <c r="I94" s="120"/>
      <c r="J94" s="98"/>
      <c r="K94" s="98"/>
    </row>
    <row r="95" spans="1:11" ht="63.75" customHeight="1" hidden="1">
      <c r="A95" s="794"/>
      <c r="B95" s="227"/>
      <c r="C95" s="112">
        <f t="shared" si="7"/>
        <v>0</v>
      </c>
      <c r="D95" s="113"/>
      <c r="E95" s="113"/>
      <c r="F95" s="116"/>
      <c r="H95" s="119"/>
      <c r="I95" s="120"/>
      <c r="J95" s="98"/>
      <c r="K95" s="98"/>
    </row>
    <row r="96" spans="1:11" ht="42" customHeight="1">
      <c r="A96" s="794"/>
      <c r="B96" s="898" t="s">
        <v>638</v>
      </c>
      <c r="C96" s="896">
        <f t="shared" si="7"/>
        <v>50000</v>
      </c>
      <c r="D96" s="897"/>
      <c r="E96" s="897">
        <v>50000</v>
      </c>
      <c r="F96" s="116"/>
      <c r="H96" s="119"/>
      <c r="I96" s="120"/>
      <c r="J96" s="98"/>
      <c r="K96" s="98"/>
    </row>
    <row r="97" spans="1:11" ht="99.75" customHeight="1">
      <c r="A97" s="794"/>
      <c r="B97" s="422" t="s">
        <v>801</v>
      </c>
      <c r="C97" s="112">
        <f>D97+E97</f>
        <v>150000</v>
      </c>
      <c r="D97" s="113"/>
      <c r="E97" s="113">
        <v>150000</v>
      </c>
      <c r="F97" s="116"/>
      <c r="H97" s="119"/>
      <c r="I97" s="120"/>
      <c r="J97" s="98"/>
      <c r="K97" s="98"/>
    </row>
    <row r="98" spans="1:11" ht="42.75" customHeight="1">
      <c r="A98" s="794"/>
      <c r="B98" s="227" t="s">
        <v>845</v>
      </c>
      <c r="C98" s="112">
        <f t="shared" si="7"/>
        <v>780912</v>
      </c>
      <c r="D98" s="113">
        <f>'Дод.4'!Y23</f>
        <v>780912</v>
      </c>
      <c r="E98" s="113"/>
      <c r="F98" s="116"/>
      <c r="H98" s="98"/>
      <c r="I98" s="120"/>
      <c r="J98" s="98"/>
      <c r="K98" s="98"/>
    </row>
    <row r="99" spans="1:11" ht="32.25" customHeight="1">
      <c r="A99" s="795"/>
      <c r="B99" s="232" t="s">
        <v>843</v>
      </c>
      <c r="C99" s="117">
        <f t="shared" si="7"/>
        <v>980912</v>
      </c>
      <c r="D99" s="124">
        <f>SUM(D92:D98)</f>
        <v>780912</v>
      </c>
      <c r="E99" s="124">
        <f>SUM(E92:E98)</f>
        <v>200000</v>
      </c>
      <c r="F99" s="116"/>
      <c r="H99" s="119">
        <f>'Дод.4'!X23</f>
        <v>780912</v>
      </c>
      <c r="I99" s="184">
        <f>'Дод.4'!AC23</f>
        <v>200000</v>
      </c>
      <c r="J99" s="220">
        <f>H99-D99</f>
        <v>0</v>
      </c>
      <c r="K99" s="220">
        <f>I99-E99</f>
        <v>0</v>
      </c>
    </row>
    <row r="100" spans="1:11" ht="44.25" customHeight="1" hidden="1">
      <c r="A100" s="794" t="s">
        <v>827</v>
      </c>
      <c r="B100" s="226"/>
      <c r="C100" s="112">
        <f t="shared" si="7"/>
        <v>0</v>
      </c>
      <c r="D100" s="113"/>
      <c r="E100" s="113"/>
      <c r="F100" s="116"/>
      <c r="H100" s="119"/>
      <c r="I100" s="186"/>
      <c r="J100" s="98"/>
      <c r="K100" s="98"/>
    </row>
    <row r="101" spans="1:11" ht="26.25" customHeight="1" hidden="1">
      <c r="A101" s="794"/>
      <c r="B101" s="226"/>
      <c r="C101" s="112">
        <f t="shared" si="7"/>
        <v>0</v>
      </c>
      <c r="D101" s="113"/>
      <c r="E101" s="113"/>
      <c r="F101" s="116"/>
      <c r="H101" s="119"/>
      <c r="I101" s="186"/>
      <c r="J101" s="98"/>
      <c r="K101" s="98"/>
    </row>
    <row r="102" spans="1:11" ht="45" customHeight="1" hidden="1">
      <c r="A102" s="794"/>
      <c r="B102" s="226"/>
      <c r="C102" s="112">
        <f t="shared" si="7"/>
        <v>0</v>
      </c>
      <c r="D102" s="113"/>
      <c r="E102" s="113"/>
      <c r="F102" s="116"/>
      <c r="H102" s="119"/>
      <c r="I102" s="186"/>
      <c r="J102" s="98"/>
      <c r="K102" s="98"/>
    </row>
    <row r="103" spans="1:11" ht="44.25" customHeight="1" hidden="1">
      <c r="A103" s="794"/>
      <c r="B103" s="226"/>
      <c r="C103" s="112">
        <f t="shared" si="7"/>
        <v>0</v>
      </c>
      <c r="D103" s="113"/>
      <c r="E103" s="113"/>
      <c r="F103" s="116"/>
      <c r="H103" s="119"/>
      <c r="I103" s="186"/>
      <c r="J103" s="98"/>
      <c r="K103" s="98"/>
    </row>
    <row r="104" spans="1:11" ht="27" customHeight="1" hidden="1">
      <c r="A104" s="794"/>
      <c r="B104" s="226"/>
      <c r="C104" s="112">
        <f>D104+E104</f>
        <v>0</v>
      </c>
      <c r="D104" s="113"/>
      <c r="E104" s="113"/>
      <c r="F104" s="116"/>
      <c r="H104" s="119"/>
      <c r="I104" s="186"/>
      <c r="J104" s="98"/>
      <c r="K104" s="98"/>
    </row>
    <row r="105" spans="1:11" ht="39" customHeight="1" hidden="1">
      <c r="A105" s="794"/>
      <c r="B105" s="226"/>
      <c r="C105" s="112">
        <f>D105+E105</f>
        <v>0</v>
      </c>
      <c r="D105" s="113"/>
      <c r="E105" s="113"/>
      <c r="F105" s="116"/>
      <c r="H105" s="119"/>
      <c r="I105" s="186"/>
      <c r="J105" s="98"/>
      <c r="K105" s="98"/>
    </row>
    <row r="106" spans="1:11" ht="40.5" customHeight="1" hidden="1">
      <c r="A106" s="794"/>
      <c r="B106" s="226"/>
      <c r="C106" s="112">
        <f t="shared" si="7"/>
        <v>0</v>
      </c>
      <c r="D106" s="113"/>
      <c r="E106" s="113"/>
      <c r="F106" s="116"/>
      <c r="H106" s="119"/>
      <c r="I106" s="186"/>
      <c r="J106" s="98"/>
      <c r="K106" s="98"/>
    </row>
    <row r="107" spans="1:11" ht="30" customHeight="1" hidden="1">
      <c r="A107" s="794"/>
      <c r="B107" s="227"/>
      <c r="C107" s="112">
        <f t="shared" si="7"/>
        <v>0</v>
      </c>
      <c r="D107" s="113"/>
      <c r="E107" s="113"/>
      <c r="F107" s="116"/>
      <c r="H107" s="119"/>
      <c r="I107" s="186"/>
      <c r="J107" s="98"/>
      <c r="K107" s="98"/>
    </row>
    <row r="108" spans="1:11" ht="31.5" customHeight="1" hidden="1">
      <c r="A108" s="794"/>
      <c r="B108" s="227"/>
      <c r="C108" s="112">
        <f t="shared" si="7"/>
        <v>0</v>
      </c>
      <c r="D108" s="113"/>
      <c r="E108" s="113"/>
      <c r="F108" s="116"/>
      <c r="H108" s="119"/>
      <c r="I108" s="186"/>
      <c r="J108" s="98"/>
      <c r="K108" s="98"/>
    </row>
    <row r="109" spans="1:11" ht="36" customHeight="1">
      <c r="A109" s="794"/>
      <c r="B109" s="227" t="s">
        <v>845</v>
      </c>
      <c r="C109" s="112">
        <f aca="true" t="shared" si="8" ref="C109:C124">D109+E109</f>
        <v>535450</v>
      </c>
      <c r="D109" s="113">
        <f>'Дод.4'!Y24</f>
        <v>535450</v>
      </c>
      <c r="E109" s="113"/>
      <c r="F109" s="116"/>
      <c r="H109" s="98"/>
      <c r="I109" s="98"/>
      <c r="J109" s="98"/>
      <c r="K109" s="98"/>
    </row>
    <row r="110" spans="1:11" ht="27" customHeight="1">
      <c r="A110" s="795"/>
      <c r="B110" s="232" t="s">
        <v>843</v>
      </c>
      <c r="C110" s="117">
        <f t="shared" si="8"/>
        <v>535450</v>
      </c>
      <c r="D110" s="124">
        <f>SUM(D100:D109)</f>
        <v>535450</v>
      </c>
      <c r="E110" s="124">
        <f>SUM(E100:E109)</f>
        <v>0</v>
      </c>
      <c r="F110" s="124">
        <f>SUM(F109:F109)</f>
        <v>0</v>
      </c>
      <c r="G110" s="126">
        <f>SUM(G109:G109)</f>
        <v>0</v>
      </c>
      <c r="H110" s="119">
        <f>'Дод.4'!X24</f>
        <v>535450</v>
      </c>
      <c r="I110" s="119">
        <f>'Дод.4'!AC24</f>
        <v>0</v>
      </c>
      <c r="J110" s="220">
        <f>H110-D110</f>
        <v>0</v>
      </c>
      <c r="K110" s="220">
        <f>I110-E110</f>
        <v>0</v>
      </c>
    </row>
    <row r="111" spans="1:11" ht="50.25" customHeight="1" hidden="1">
      <c r="A111" s="794" t="s">
        <v>828</v>
      </c>
      <c r="B111" s="492"/>
      <c r="C111" s="121">
        <f t="shared" si="8"/>
        <v>0</v>
      </c>
      <c r="D111" s="121"/>
      <c r="E111" s="113"/>
      <c r="F111" s="209"/>
      <c r="G111" s="171"/>
      <c r="H111" s="119"/>
      <c r="I111" s="119"/>
      <c r="J111" s="98"/>
      <c r="K111" s="98"/>
    </row>
    <row r="112" spans="1:11" ht="38.25" customHeight="1" hidden="1">
      <c r="A112" s="794"/>
      <c r="B112" s="227"/>
      <c r="C112" s="112">
        <f>D112+E112</f>
        <v>0</v>
      </c>
      <c r="D112" s="113"/>
      <c r="E112" s="113"/>
      <c r="F112" s="209"/>
      <c r="G112" s="171"/>
      <c r="H112" s="119"/>
      <c r="I112" s="119"/>
      <c r="J112" s="98"/>
      <c r="K112" s="98"/>
    </row>
    <row r="113" spans="1:11" ht="27" customHeight="1" hidden="1">
      <c r="A113" s="794"/>
      <c r="B113" s="227"/>
      <c r="C113" s="112">
        <f>D113+E113</f>
        <v>0</v>
      </c>
      <c r="D113" s="113"/>
      <c r="E113" s="113"/>
      <c r="F113" s="209"/>
      <c r="G113" s="171"/>
      <c r="H113" s="119"/>
      <c r="I113" s="119"/>
      <c r="J113" s="98"/>
      <c r="K113" s="98"/>
    </row>
    <row r="114" spans="1:11" ht="25.5" customHeight="1" hidden="1">
      <c r="A114" s="794"/>
      <c r="B114" s="227"/>
      <c r="C114" s="112">
        <f t="shared" si="8"/>
        <v>0</v>
      </c>
      <c r="D114" s="113"/>
      <c r="E114" s="113"/>
      <c r="F114" s="209"/>
      <c r="G114" s="171"/>
      <c r="H114" s="119"/>
      <c r="I114" s="119"/>
      <c r="J114" s="98"/>
      <c r="K114" s="98"/>
    </row>
    <row r="115" spans="1:11" ht="48" customHeight="1" hidden="1">
      <c r="A115" s="794"/>
      <c r="B115" s="227"/>
      <c r="C115" s="112">
        <f t="shared" si="8"/>
        <v>0</v>
      </c>
      <c r="D115" s="113"/>
      <c r="E115" s="113"/>
      <c r="F115" s="209"/>
      <c r="G115" s="171"/>
      <c r="H115" s="119"/>
      <c r="I115" s="119"/>
      <c r="J115" s="98"/>
      <c r="K115" s="98"/>
    </row>
    <row r="116" spans="1:11" ht="27.75" customHeight="1" hidden="1">
      <c r="A116" s="794"/>
      <c r="B116" s="227"/>
      <c r="C116" s="112">
        <f t="shared" si="8"/>
        <v>0</v>
      </c>
      <c r="D116" s="113"/>
      <c r="E116" s="113"/>
      <c r="F116" s="209"/>
      <c r="G116" s="171"/>
      <c r="H116" s="119"/>
      <c r="I116" s="119"/>
      <c r="J116" s="98"/>
      <c r="K116" s="98"/>
    </row>
    <row r="117" spans="1:11" ht="80.25" customHeight="1" hidden="1">
      <c r="A117" s="794"/>
      <c r="B117" s="227"/>
      <c r="C117" s="112">
        <f t="shared" si="8"/>
        <v>0</v>
      </c>
      <c r="D117" s="113"/>
      <c r="E117" s="113"/>
      <c r="F117" s="209"/>
      <c r="G117" s="171"/>
      <c r="H117" s="119"/>
      <c r="I117" s="119"/>
      <c r="J117" s="98"/>
      <c r="K117" s="98"/>
    </row>
    <row r="118" spans="1:11" ht="39" customHeight="1" hidden="1">
      <c r="A118" s="794"/>
      <c r="B118" s="227"/>
      <c r="C118" s="112">
        <f>D118+E118</f>
        <v>0</v>
      </c>
      <c r="D118" s="113"/>
      <c r="E118" s="113"/>
      <c r="F118" s="209"/>
      <c r="G118" s="171"/>
      <c r="H118" s="119"/>
      <c r="I118" s="119"/>
      <c r="J118" s="98"/>
      <c r="K118" s="98"/>
    </row>
    <row r="119" spans="1:11" ht="39" customHeight="1" hidden="1">
      <c r="A119" s="794"/>
      <c r="B119" s="392"/>
      <c r="C119" s="112">
        <f>D119+E119</f>
        <v>0</v>
      </c>
      <c r="D119" s="113"/>
      <c r="E119" s="113"/>
      <c r="F119" s="209"/>
      <c r="G119" s="171"/>
      <c r="H119" s="119"/>
      <c r="I119" s="119"/>
      <c r="J119" s="98"/>
      <c r="K119" s="98"/>
    </row>
    <row r="120" spans="1:11" ht="39" customHeight="1" hidden="1">
      <c r="A120" s="794"/>
      <c r="B120" s="227"/>
      <c r="C120" s="112">
        <f>D120+E120</f>
        <v>0</v>
      </c>
      <c r="D120" s="113"/>
      <c r="E120" s="113"/>
      <c r="F120" s="209"/>
      <c r="G120" s="171"/>
      <c r="H120" s="119"/>
      <c r="I120" s="119"/>
      <c r="J120" s="98"/>
      <c r="K120" s="98"/>
    </row>
    <row r="121" spans="1:11" ht="42" customHeight="1" hidden="1">
      <c r="A121" s="794"/>
      <c r="B121" s="225"/>
      <c r="C121" s="112">
        <f t="shared" si="8"/>
        <v>0</v>
      </c>
      <c r="D121" s="113"/>
      <c r="E121" s="113"/>
      <c r="F121" s="209"/>
      <c r="G121" s="171"/>
      <c r="H121" s="119"/>
      <c r="I121" s="119"/>
      <c r="J121" s="98"/>
      <c r="K121" s="98"/>
    </row>
    <row r="122" spans="1:11" ht="42" customHeight="1" hidden="1">
      <c r="A122" s="794"/>
      <c r="B122" s="225"/>
      <c r="C122" s="112">
        <f t="shared" si="8"/>
        <v>0</v>
      </c>
      <c r="D122" s="113"/>
      <c r="E122" s="113"/>
      <c r="F122" s="209"/>
      <c r="G122" s="171"/>
      <c r="H122" s="119"/>
      <c r="I122" s="119"/>
      <c r="J122" s="98"/>
      <c r="K122" s="98"/>
    </row>
    <row r="123" spans="1:11" ht="45" customHeight="1" hidden="1">
      <c r="A123" s="794"/>
      <c r="B123" s="225"/>
      <c r="C123" s="112">
        <f t="shared" si="8"/>
        <v>0</v>
      </c>
      <c r="D123" s="113"/>
      <c r="E123" s="113"/>
      <c r="F123" s="209"/>
      <c r="G123" s="171"/>
      <c r="H123" s="119"/>
      <c r="I123" s="119"/>
      <c r="J123" s="98"/>
      <c r="K123" s="98"/>
    </row>
    <row r="124" spans="1:11" ht="42" customHeight="1">
      <c r="A124" s="794"/>
      <c r="B124" s="227" t="s">
        <v>845</v>
      </c>
      <c r="C124" s="112">
        <f t="shared" si="8"/>
        <v>2933858</v>
      </c>
      <c r="D124" s="113">
        <f>'Дод.4'!Y25</f>
        <v>2933858</v>
      </c>
      <c r="E124" s="113"/>
      <c r="F124" s="116"/>
      <c r="H124" s="98"/>
      <c r="I124" s="98"/>
      <c r="J124" s="98"/>
      <c r="K124" s="98"/>
    </row>
    <row r="125" spans="1:11" ht="31.5" customHeight="1">
      <c r="A125" s="795"/>
      <c r="B125" s="232" t="s">
        <v>843</v>
      </c>
      <c r="C125" s="117">
        <f aca="true" t="shared" si="9" ref="C125:C133">D125+E125</f>
        <v>2933858</v>
      </c>
      <c r="D125" s="124">
        <f>SUM(D111:D124)</f>
        <v>2933858</v>
      </c>
      <c r="E125" s="124">
        <f>SUM(E111:E124)</f>
        <v>0</v>
      </c>
      <c r="F125" s="116"/>
      <c r="H125" s="119">
        <f>'Дод.4'!X25</f>
        <v>2933858</v>
      </c>
      <c r="I125" s="119">
        <f>'Дод.4'!AC25</f>
        <v>0</v>
      </c>
      <c r="J125" s="220">
        <f>H125-D125</f>
        <v>0</v>
      </c>
      <c r="K125" s="220">
        <f>I125-E125</f>
        <v>0</v>
      </c>
    </row>
    <row r="126" spans="1:11" ht="66.75" customHeight="1" hidden="1">
      <c r="A126" s="794" t="s">
        <v>829</v>
      </c>
      <c r="B126" s="226"/>
      <c r="C126" s="112">
        <f t="shared" si="9"/>
        <v>0</v>
      </c>
      <c r="D126" s="113"/>
      <c r="E126" s="113"/>
      <c r="F126" s="116"/>
      <c r="H126" s="119"/>
      <c r="I126" s="98"/>
      <c r="J126" s="98"/>
      <c r="K126" s="98"/>
    </row>
    <row r="127" spans="1:11" ht="62.25" customHeight="1" hidden="1">
      <c r="A127" s="794"/>
      <c r="B127" s="226"/>
      <c r="C127" s="112">
        <f>D127+E127</f>
        <v>0</v>
      </c>
      <c r="D127" s="113"/>
      <c r="E127" s="113"/>
      <c r="F127" s="116"/>
      <c r="H127" s="119"/>
      <c r="I127" s="98"/>
      <c r="J127" s="98"/>
      <c r="K127" s="98"/>
    </row>
    <row r="128" spans="1:11" ht="44.25" customHeight="1" hidden="1">
      <c r="A128" s="794"/>
      <c r="B128" s="226"/>
      <c r="C128" s="112">
        <f t="shared" si="9"/>
        <v>0</v>
      </c>
      <c r="D128" s="113"/>
      <c r="E128" s="113"/>
      <c r="F128" s="116"/>
      <c r="H128" s="119"/>
      <c r="I128" s="98"/>
      <c r="J128" s="98"/>
      <c r="K128" s="98"/>
    </row>
    <row r="129" spans="1:11" ht="28.5" customHeight="1" hidden="1">
      <c r="A129" s="794"/>
      <c r="B129" s="226"/>
      <c r="C129" s="112">
        <f t="shared" si="9"/>
        <v>0</v>
      </c>
      <c r="D129" s="113"/>
      <c r="E129" s="113"/>
      <c r="F129" s="116"/>
      <c r="H129" s="119"/>
      <c r="I129" s="98"/>
      <c r="J129" s="98"/>
      <c r="K129" s="98"/>
    </row>
    <row r="130" spans="1:11" ht="46.5" customHeight="1" hidden="1">
      <c r="A130" s="794"/>
      <c r="B130" s="226"/>
      <c r="C130" s="112">
        <f t="shared" si="9"/>
        <v>0</v>
      </c>
      <c r="D130" s="113"/>
      <c r="E130" s="113"/>
      <c r="F130" s="116"/>
      <c r="H130" s="119"/>
      <c r="I130" s="98"/>
      <c r="J130" s="98"/>
      <c r="K130" s="98"/>
    </row>
    <row r="131" spans="1:11" ht="46.5" customHeight="1" hidden="1">
      <c r="A131" s="794"/>
      <c r="B131" s="226"/>
      <c r="C131" s="112">
        <f t="shared" si="9"/>
        <v>0</v>
      </c>
      <c r="D131" s="113"/>
      <c r="E131" s="113"/>
      <c r="F131" s="116"/>
      <c r="H131" s="119"/>
      <c r="I131" s="98"/>
      <c r="J131" s="98"/>
      <c r="K131" s="98"/>
    </row>
    <row r="132" spans="1:11" ht="49.5" customHeight="1" hidden="1">
      <c r="A132" s="794"/>
      <c r="B132" s="226"/>
      <c r="C132" s="112">
        <f t="shared" si="9"/>
        <v>0</v>
      </c>
      <c r="D132" s="113"/>
      <c r="E132" s="113"/>
      <c r="F132" s="116"/>
      <c r="H132" s="119"/>
      <c r="I132" s="98"/>
      <c r="J132" s="98"/>
      <c r="K132" s="98"/>
    </row>
    <row r="133" spans="1:11" ht="31.5" customHeight="1" hidden="1">
      <c r="A133" s="794"/>
      <c r="B133" s="226"/>
      <c r="C133" s="112">
        <f t="shared" si="9"/>
        <v>0</v>
      </c>
      <c r="D133" s="113"/>
      <c r="E133" s="113"/>
      <c r="F133" s="116"/>
      <c r="H133" s="119"/>
      <c r="I133" s="98"/>
      <c r="J133" s="98"/>
      <c r="K133" s="98"/>
    </row>
    <row r="134" spans="1:11" ht="61.5" customHeight="1" hidden="1">
      <c r="A134" s="794"/>
      <c r="B134" s="226"/>
      <c r="C134" s="112">
        <f>D134+E134</f>
        <v>0</v>
      </c>
      <c r="D134" s="113"/>
      <c r="E134" s="113"/>
      <c r="F134" s="116"/>
      <c r="H134" s="119"/>
      <c r="I134" s="98"/>
      <c r="J134" s="98"/>
      <c r="K134" s="98"/>
    </row>
    <row r="135" spans="1:11" ht="48" customHeight="1" hidden="1">
      <c r="A135" s="794"/>
      <c r="B135" s="227"/>
      <c r="C135" s="112">
        <f>D135+E135</f>
        <v>0</v>
      </c>
      <c r="D135" s="113"/>
      <c r="E135" s="113"/>
      <c r="F135" s="116"/>
      <c r="H135" s="119"/>
      <c r="I135" s="98"/>
      <c r="J135" s="98"/>
      <c r="K135" s="98"/>
    </row>
    <row r="136" spans="1:11" s="125" customFormat="1" ht="43.5" customHeight="1">
      <c r="A136" s="794"/>
      <c r="B136" s="227" t="s">
        <v>845</v>
      </c>
      <c r="C136" s="112">
        <f>D136+E136</f>
        <v>311764</v>
      </c>
      <c r="D136" s="112">
        <f>'Дод.4'!Y26</f>
        <v>311764</v>
      </c>
      <c r="E136" s="117"/>
      <c r="F136" s="210">
        <f>SUM(F23:F125)</f>
        <v>0</v>
      </c>
      <c r="G136" s="127">
        <f>SUM(G23:G125)</f>
        <v>0</v>
      </c>
      <c r="H136" s="128"/>
      <c r="I136" s="128"/>
      <c r="J136" s="128"/>
      <c r="K136" s="128"/>
    </row>
    <row r="137" spans="1:11" s="125" customFormat="1" ht="27.75" customHeight="1">
      <c r="A137" s="795"/>
      <c r="B137" s="232" t="s">
        <v>843</v>
      </c>
      <c r="C137" s="117">
        <f aca="true" t="shared" si="10" ref="C137:C142">D137+E137</f>
        <v>311764</v>
      </c>
      <c r="D137" s="117">
        <f>SUM(D126:D136)</f>
        <v>311764</v>
      </c>
      <c r="E137" s="117">
        <f>SUM(E126:E136)</f>
        <v>0</v>
      </c>
      <c r="F137" s="211"/>
      <c r="G137" s="128"/>
      <c r="H137" s="185">
        <f>'Дод.4'!X26</f>
        <v>311764</v>
      </c>
      <c r="I137" s="185">
        <f>'Дод.4'!AC26</f>
        <v>0</v>
      </c>
      <c r="J137" s="220">
        <f>H137-D137</f>
        <v>0</v>
      </c>
      <c r="K137" s="220">
        <f>I137-E137</f>
        <v>0</v>
      </c>
    </row>
    <row r="138" spans="1:11" ht="31.5" customHeight="1" hidden="1">
      <c r="A138" s="796" t="s">
        <v>830</v>
      </c>
      <c r="B138" s="227"/>
      <c r="C138" s="112">
        <f t="shared" si="10"/>
        <v>0</v>
      </c>
      <c r="D138" s="258"/>
      <c r="E138" s="113"/>
      <c r="F138" s="116"/>
      <c r="H138" s="98"/>
      <c r="I138" s="98"/>
      <c r="J138" s="98"/>
      <c r="K138" s="98"/>
    </row>
    <row r="139" spans="1:11" ht="32.25" customHeight="1" hidden="1">
      <c r="A139" s="794"/>
      <c r="B139" s="227"/>
      <c r="C139" s="112">
        <f t="shared" si="10"/>
        <v>0</v>
      </c>
      <c r="D139" s="258"/>
      <c r="E139" s="113"/>
      <c r="F139" s="116"/>
      <c r="H139" s="98"/>
      <c r="I139" s="98"/>
      <c r="J139" s="98"/>
      <c r="K139" s="98"/>
    </row>
    <row r="140" spans="1:11" ht="43.5" customHeight="1" hidden="1">
      <c r="A140" s="794"/>
      <c r="B140" s="227"/>
      <c r="C140" s="112">
        <f t="shared" si="10"/>
        <v>0</v>
      </c>
      <c r="D140" s="434"/>
      <c r="E140" s="113"/>
      <c r="F140" s="116"/>
      <c r="H140" s="98"/>
      <c r="I140" s="98"/>
      <c r="J140" s="98"/>
      <c r="K140" s="98"/>
    </row>
    <row r="141" spans="1:11" ht="33" customHeight="1" hidden="1">
      <c r="A141" s="794"/>
      <c r="B141" s="227"/>
      <c r="C141" s="112">
        <f t="shared" si="10"/>
        <v>0</v>
      </c>
      <c r="D141" s="393"/>
      <c r="E141" s="113"/>
      <c r="F141" s="116"/>
      <c r="H141" s="98"/>
      <c r="I141" s="98"/>
      <c r="J141" s="98"/>
      <c r="K141" s="98"/>
    </row>
    <row r="142" spans="1:11" ht="40.5" customHeight="1">
      <c r="A142" s="794"/>
      <c r="B142" s="227" t="s">
        <v>845</v>
      </c>
      <c r="C142" s="112">
        <f t="shared" si="10"/>
        <v>379884</v>
      </c>
      <c r="D142" s="121">
        <f>'Дод.4'!Y27</f>
        <v>379884</v>
      </c>
      <c r="E142" s="113"/>
      <c r="F142" s="116"/>
      <c r="H142" s="98"/>
      <c r="I142" s="98"/>
      <c r="J142" s="98"/>
      <c r="K142" s="98"/>
    </row>
    <row r="143" spans="1:11" ht="24.75" customHeight="1">
      <c r="A143" s="795"/>
      <c r="B143" s="232" t="s">
        <v>843</v>
      </c>
      <c r="C143" s="117">
        <f aca="true" t="shared" si="11" ref="C143:C158">D143+E143</f>
        <v>379884</v>
      </c>
      <c r="D143" s="122">
        <f>SUM(D138:D142)</f>
        <v>379884</v>
      </c>
      <c r="E143" s="122">
        <f>SUM(E138:E142)</f>
        <v>0</v>
      </c>
      <c r="F143" s="129">
        <f>SUM(F138:F142)</f>
        <v>0</v>
      </c>
      <c r="G143" s="129">
        <f>SUM(G138:G142)</f>
        <v>0</v>
      </c>
      <c r="H143" s="119">
        <f>'Дод.4'!X27</f>
        <v>379884</v>
      </c>
      <c r="I143" s="119">
        <f>'Дод.4'!AC27</f>
        <v>0</v>
      </c>
      <c r="J143" s="220">
        <f>H143-D143</f>
        <v>0</v>
      </c>
      <c r="K143" s="220">
        <f>I143-E143</f>
        <v>0</v>
      </c>
    </row>
    <row r="144" spans="1:6" ht="46.5" customHeight="1" hidden="1">
      <c r="A144" s="796" t="s">
        <v>484</v>
      </c>
      <c r="B144" s="227"/>
      <c r="C144" s="112">
        <f t="shared" si="11"/>
        <v>0</v>
      </c>
      <c r="D144" s="121"/>
      <c r="E144" s="113"/>
      <c r="F144" s="116"/>
    </row>
    <row r="145" spans="1:6" ht="39" customHeight="1" hidden="1">
      <c r="A145" s="794"/>
      <c r="B145" s="227"/>
      <c r="C145" s="112">
        <f t="shared" si="11"/>
        <v>0</v>
      </c>
      <c r="D145" s="121"/>
      <c r="E145" s="113"/>
      <c r="F145" s="116"/>
    </row>
    <row r="146" spans="1:6" ht="42.75" customHeight="1" hidden="1">
      <c r="A146" s="794"/>
      <c r="B146" s="227"/>
      <c r="C146" s="112">
        <f t="shared" si="11"/>
        <v>0</v>
      </c>
      <c r="D146" s="121"/>
      <c r="E146" s="113"/>
      <c r="F146" s="116"/>
    </row>
    <row r="147" spans="1:6" ht="35.25" customHeight="1" hidden="1">
      <c r="A147" s="794"/>
      <c r="B147" s="227"/>
      <c r="C147" s="112">
        <f t="shared" si="11"/>
        <v>0</v>
      </c>
      <c r="D147" s="121"/>
      <c r="E147" s="113"/>
      <c r="F147" s="116"/>
    </row>
    <row r="148" spans="1:6" ht="36" customHeight="1" hidden="1">
      <c r="A148" s="794"/>
      <c r="B148" s="227"/>
      <c r="C148" s="112">
        <f t="shared" si="11"/>
        <v>0</v>
      </c>
      <c r="D148" s="121"/>
      <c r="E148" s="113"/>
      <c r="F148" s="116"/>
    </row>
    <row r="149" spans="1:11" ht="45" customHeight="1" hidden="1">
      <c r="A149" s="795"/>
      <c r="B149" s="232" t="s">
        <v>843</v>
      </c>
      <c r="C149" s="117">
        <f t="shared" si="11"/>
        <v>0</v>
      </c>
      <c r="D149" s="122">
        <f>SUM(D144:D148)</f>
        <v>0</v>
      </c>
      <c r="E149" s="122">
        <f>SUM(E144:E148)</f>
        <v>0</v>
      </c>
      <c r="F149" s="116"/>
      <c r="H149" s="130">
        <f>'Дод.4'!X28</f>
        <v>0</v>
      </c>
      <c r="I149" s="130">
        <f>'Дод.4'!AC28</f>
        <v>0</v>
      </c>
      <c r="J149" s="220">
        <f>H149-D149</f>
        <v>0</v>
      </c>
      <c r="K149" s="220">
        <f>I149-E149</f>
        <v>0</v>
      </c>
    </row>
    <row r="150" spans="1:8" ht="43.5" customHeight="1" hidden="1">
      <c r="A150" s="794" t="s">
        <v>831</v>
      </c>
      <c r="B150" s="227"/>
      <c r="C150" s="112">
        <f t="shared" si="11"/>
        <v>0</v>
      </c>
      <c r="D150" s="113"/>
      <c r="E150" s="121"/>
      <c r="F150" s="116"/>
      <c r="H150" s="130"/>
    </row>
    <row r="151" spans="1:8" ht="47.25" customHeight="1" hidden="1">
      <c r="A151" s="794"/>
      <c r="B151" s="227"/>
      <c r="C151" s="112">
        <f t="shared" si="11"/>
        <v>0</v>
      </c>
      <c r="D151" s="113"/>
      <c r="E151" s="121"/>
      <c r="F151" s="116"/>
      <c r="H151" s="130"/>
    </row>
    <row r="152" spans="1:8" ht="58.5" customHeight="1" hidden="1">
      <c r="A152" s="794"/>
      <c r="B152" s="227"/>
      <c r="C152" s="112">
        <f t="shared" si="11"/>
        <v>0</v>
      </c>
      <c r="D152" s="113"/>
      <c r="E152" s="121"/>
      <c r="F152" s="116"/>
      <c r="H152" s="130"/>
    </row>
    <row r="153" spans="1:9" ht="48" customHeight="1" hidden="1">
      <c r="A153" s="794"/>
      <c r="B153" s="227"/>
      <c r="C153" s="112">
        <f>D153+E153</f>
        <v>0</v>
      </c>
      <c r="D153" s="113"/>
      <c r="E153" s="121"/>
      <c r="F153" s="116"/>
      <c r="H153" s="130"/>
      <c r="I153" s="214"/>
    </row>
    <row r="154" spans="1:9" ht="45" customHeight="1" hidden="1">
      <c r="A154" s="794"/>
      <c r="B154" s="227"/>
      <c r="C154" s="112">
        <f t="shared" si="11"/>
        <v>0</v>
      </c>
      <c r="D154" s="112"/>
      <c r="E154" s="121"/>
      <c r="F154" s="116"/>
      <c r="H154" s="130"/>
      <c r="I154" s="214"/>
    </row>
    <row r="155" spans="1:9" ht="45" customHeight="1" hidden="1">
      <c r="A155" s="794"/>
      <c r="B155" s="227"/>
      <c r="C155" s="112">
        <f t="shared" si="11"/>
        <v>0</v>
      </c>
      <c r="D155" s="112"/>
      <c r="E155" s="121"/>
      <c r="F155" s="116"/>
      <c r="H155" s="130"/>
      <c r="I155" s="214"/>
    </row>
    <row r="156" spans="1:9" ht="27" customHeight="1" hidden="1">
      <c r="A156" s="794"/>
      <c r="B156" s="227"/>
      <c r="C156" s="112">
        <f t="shared" si="11"/>
        <v>0</v>
      </c>
      <c r="D156" s="112"/>
      <c r="E156" s="121"/>
      <c r="F156" s="116"/>
      <c r="H156" s="130"/>
      <c r="I156" s="214"/>
    </row>
    <row r="157" spans="1:9" ht="45" customHeight="1" hidden="1">
      <c r="A157" s="794"/>
      <c r="B157" s="227"/>
      <c r="C157" s="112">
        <f t="shared" si="11"/>
        <v>0</v>
      </c>
      <c r="D157" s="112"/>
      <c r="E157" s="121"/>
      <c r="F157" s="116"/>
      <c r="H157" s="130"/>
      <c r="I157" s="214"/>
    </row>
    <row r="158" spans="1:6" ht="41.25" customHeight="1">
      <c r="A158" s="794"/>
      <c r="B158" s="227" t="s">
        <v>845</v>
      </c>
      <c r="C158" s="112">
        <f t="shared" si="11"/>
        <v>282522</v>
      </c>
      <c r="D158" s="121">
        <f>'Дод.4'!Y29</f>
        <v>282522</v>
      </c>
      <c r="E158" s="113"/>
      <c r="F158" s="116"/>
    </row>
    <row r="159" spans="1:11" ht="28.5" customHeight="1">
      <c r="A159" s="795"/>
      <c r="B159" s="232" t="s">
        <v>843</v>
      </c>
      <c r="C159" s="117">
        <f aca="true" t="shared" si="12" ref="C159:C177">D159+E159</f>
        <v>282522</v>
      </c>
      <c r="D159" s="122">
        <f>SUM(D150:D158)</f>
        <v>282522</v>
      </c>
      <c r="E159" s="122">
        <f>SUM(E150:E158)</f>
        <v>0</v>
      </c>
      <c r="F159" s="116"/>
      <c r="H159" s="130">
        <f>'Дод.4'!X29</f>
        <v>282522</v>
      </c>
      <c r="I159" s="130">
        <f>'Дод.4'!AC29</f>
        <v>0</v>
      </c>
      <c r="J159" s="220">
        <f>H159-D159</f>
        <v>0</v>
      </c>
      <c r="K159" s="220">
        <f>I159-E159</f>
        <v>0</v>
      </c>
    </row>
    <row r="160" spans="1:6" ht="46.5" customHeight="1" hidden="1">
      <c r="A160" s="796" t="s">
        <v>832</v>
      </c>
      <c r="B160" s="227"/>
      <c r="C160" s="112">
        <f t="shared" si="12"/>
        <v>0</v>
      </c>
      <c r="D160" s="121"/>
      <c r="E160" s="113"/>
      <c r="F160" s="116"/>
    </row>
    <row r="161" spans="1:6" ht="30" customHeight="1" hidden="1">
      <c r="A161" s="794"/>
      <c r="B161" s="226"/>
      <c r="C161" s="112">
        <f t="shared" si="12"/>
        <v>0</v>
      </c>
      <c r="D161" s="121"/>
      <c r="E161" s="113"/>
      <c r="F161" s="116"/>
    </row>
    <row r="162" spans="1:6" ht="29.25" customHeight="1" hidden="1">
      <c r="A162" s="797"/>
      <c r="B162" s="227"/>
      <c r="C162" s="112">
        <f t="shared" si="12"/>
        <v>0</v>
      </c>
      <c r="D162" s="121"/>
      <c r="E162" s="113"/>
      <c r="F162" s="116"/>
    </row>
    <row r="163" spans="1:6" ht="97.5" customHeight="1">
      <c r="A163" s="797"/>
      <c r="B163" s="227" t="s">
        <v>3</v>
      </c>
      <c r="C163" s="112">
        <f t="shared" si="12"/>
        <v>150000</v>
      </c>
      <c r="D163" s="121"/>
      <c r="E163" s="113">
        <v>150000</v>
      </c>
      <c r="F163" s="116"/>
    </row>
    <row r="164" spans="1:6" ht="40.5" customHeight="1">
      <c r="A164" s="797"/>
      <c r="B164" s="227" t="s">
        <v>845</v>
      </c>
      <c r="C164" s="112">
        <f t="shared" si="12"/>
        <v>2003603</v>
      </c>
      <c r="D164" s="121">
        <f>'Дод.4'!Y30</f>
        <v>2003603</v>
      </c>
      <c r="E164" s="113"/>
      <c r="F164" s="116"/>
    </row>
    <row r="165" spans="1:11" ht="23.25" customHeight="1">
      <c r="A165" s="798"/>
      <c r="B165" s="232" t="s">
        <v>843</v>
      </c>
      <c r="C165" s="117">
        <f t="shared" si="12"/>
        <v>2153603</v>
      </c>
      <c r="D165" s="122">
        <f>SUM(D160:D164)</f>
        <v>2003603</v>
      </c>
      <c r="E165" s="122">
        <f>SUM(E160:E164)</f>
        <v>150000</v>
      </c>
      <c r="F165" s="116"/>
      <c r="H165" s="130">
        <f>'Дод.4'!X30</f>
        <v>2003603</v>
      </c>
      <c r="I165" s="130">
        <f>'Дод.4'!AC30</f>
        <v>150000</v>
      </c>
      <c r="J165" s="220">
        <f>H165-D165</f>
        <v>0</v>
      </c>
      <c r="K165" s="220">
        <f>I165-E165</f>
        <v>0</v>
      </c>
    </row>
    <row r="166" spans="1:8" ht="44.25" customHeight="1" hidden="1">
      <c r="A166" s="794" t="s">
        <v>833</v>
      </c>
      <c r="B166" s="492"/>
      <c r="C166" s="121">
        <f t="shared" si="12"/>
        <v>0</v>
      </c>
      <c r="D166" s="121"/>
      <c r="E166" s="113"/>
      <c r="F166" s="116"/>
      <c r="H166" s="130"/>
    </row>
    <row r="167" spans="1:8" ht="44.25" customHeight="1" hidden="1">
      <c r="A167" s="794"/>
      <c r="B167" s="226"/>
      <c r="C167" s="112">
        <f>D167+E167</f>
        <v>0</v>
      </c>
      <c r="D167" s="163"/>
      <c r="E167" s="113"/>
      <c r="F167" s="116"/>
      <c r="H167" s="130"/>
    </row>
    <row r="168" spans="1:8" ht="26.25" customHeight="1" hidden="1">
      <c r="A168" s="794"/>
      <c r="B168" s="226"/>
      <c r="C168" s="112">
        <f>D168+E168</f>
        <v>0</v>
      </c>
      <c r="D168" s="163"/>
      <c r="E168" s="113"/>
      <c r="F168" s="116"/>
      <c r="H168" s="130"/>
    </row>
    <row r="169" spans="1:8" ht="29.25" customHeight="1" hidden="1">
      <c r="A169" s="794"/>
      <c r="B169" s="226"/>
      <c r="C169" s="112">
        <f t="shared" si="12"/>
        <v>0</v>
      </c>
      <c r="D169" s="163"/>
      <c r="E169" s="113"/>
      <c r="F169" s="116"/>
      <c r="H169" s="130"/>
    </row>
    <row r="170" spans="1:8" ht="29.25" customHeight="1" hidden="1">
      <c r="A170" s="794"/>
      <c r="B170" s="226"/>
      <c r="C170" s="112">
        <f t="shared" si="12"/>
        <v>0</v>
      </c>
      <c r="D170" s="163"/>
      <c r="E170" s="113"/>
      <c r="F170" s="116"/>
      <c r="H170" s="130"/>
    </row>
    <row r="171" spans="1:8" ht="30" customHeight="1" hidden="1">
      <c r="A171" s="794"/>
      <c r="B171" s="226"/>
      <c r="C171" s="112">
        <f t="shared" si="12"/>
        <v>0</v>
      </c>
      <c r="D171" s="163"/>
      <c r="E171" s="113"/>
      <c r="F171" s="116"/>
      <c r="H171" s="130"/>
    </row>
    <row r="172" spans="1:8" ht="42.75" customHeight="1" hidden="1">
      <c r="A172" s="794"/>
      <c r="B172" s="227"/>
      <c r="C172" s="112">
        <f t="shared" si="12"/>
        <v>0</v>
      </c>
      <c r="D172" s="121"/>
      <c r="E172" s="113"/>
      <c r="F172" s="116"/>
      <c r="H172" s="130"/>
    </row>
    <row r="173" spans="1:8" ht="36" customHeight="1" hidden="1">
      <c r="A173" s="794"/>
      <c r="B173" s="227"/>
      <c r="C173" s="112">
        <f t="shared" si="12"/>
        <v>0</v>
      </c>
      <c r="D173" s="121"/>
      <c r="E173" s="113"/>
      <c r="F173" s="116"/>
      <c r="H173" s="130"/>
    </row>
    <row r="174" spans="1:8" ht="36" customHeight="1" hidden="1">
      <c r="A174" s="794"/>
      <c r="B174" s="227"/>
      <c r="C174" s="112">
        <f t="shared" si="12"/>
        <v>0</v>
      </c>
      <c r="D174" s="121"/>
      <c r="E174" s="113"/>
      <c r="F174" s="116"/>
      <c r="H174" s="130"/>
    </row>
    <row r="175" spans="1:8" ht="41.25" customHeight="1" hidden="1">
      <c r="A175" s="794"/>
      <c r="B175" s="227"/>
      <c r="C175" s="112">
        <f t="shared" si="12"/>
        <v>0</v>
      </c>
      <c r="D175" s="121"/>
      <c r="E175" s="113"/>
      <c r="F175" s="116"/>
      <c r="H175" s="130"/>
    </row>
    <row r="176" spans="1:8" ht="39" customHeight="1" hidden="1">
      <c r="A176" s="794"/>
      <c r="B176" s="227"/>
      <c r="C176" s="112">
        <f t="shared" si="12"/>
        <v>0</v>
      </c>
      <c r="D176" s="121"/>
      <c r="E176" s="113"/>
      <c r="F176" s="116"/>
      <c r="H176" s="130"/>
    </row>
    <row r="177" spans="1:7" s="125" customFormat="1" ht="41.25" customHeight="1">
      <c r="A177" s="794"/>
      <c r="B177" s="227" t="s">
        <v>845</v>
      </c>
      <c r="C177" s="112">
        <f t="shared" si="12"/>
        <v>2824242</v>
      </c>
      <c r="D177" s="112">
        <f>'Дод.4'!Y31</f>
        <v>2824242</v>
      </c>
      <c r="E177" s="112"/>
      <c r="F177" s="190"/>
      <c r="G177" s="106"/>
    </row>
    <row r="178" spans="1:11" s="125" customFormat="1" ht="23.25" customHeight="1">
      <c r="A178" s="795"/>
      <c r="B178" s="232" t="s">
        <v>843</v>
      </c>
      <c r="C178" s="117">
        <f aca="true" t="shared" si="13" ref="C178:C192">D178+E178</f>
        <v>2824242</v>
      </c>
      <c r="D178" s="117">
        <f>SUM(D166:D177)</f>
        <v>2824242</v>
      </c>
      <c r="E178" s="117">
        <f>SUM(E166:E177)</f>
        <v>0</v>
      </c>
      <c r="F178" s="212"/>
      <c r="G178" s="131"/>
      <c r="H178" s="130">
        <f>'Дод.4'!X31</f>
        <v>2824242</v>
      </c>
      <c r="I178" s="188">
        <f>'Дод.4'!AC31</f>
        <v>0</v>
      </c>
      <c r="J178" s="220">
        <f>H178-D178</f>
        <v>0</v>
      </c>
      <c r="K178" s="220">
        <f>I178-E178</f>
        <v>0</v>
      </c>
    </row>
    <row r="179" spans="1:9" s="125" customFormat="1" ht="44.25" customHeight="1" hidden="1">
      <c r="A179" s="794" t="s">
        <v>1</v>
      </c>
      <c r="B179" s="226"/>
      <c r="C179" s="112">
        <f t="shared" si="13"/>
        <v>0</v>
      </c>
      <c r="D179" s="113"/>
      <c r="E179" s="112"/>
      <c r="F179" s="212"/>
      <c r="G179" s="131"/>
      <c r="H179" s="132"/>
      <c r="I179" s="189"/>
    </row>
    <row r="180" spans="1:9" s="125" customFormat="1" ht="39" customHeight="1" hidden="1">
      <c r="A180" s="794"/>
      <c r="B180" s="225"/>
      <c r="C180" s="112">
        <f>D180+E180</f>
        <v>0</v>
      </c>
      <c r="D180" s="113"/>
      <c r="E180" s="112"/>
      <c r="F180" s="212"/>
      <c r="G180" s="131"/>
      <c r="H180" s="132"/>
      <c r="I180" s="189"/>
    </row>
    <row r="181" spans="1:6" ht="40.5" customHeight="1" hidden="1">
      <c r="A181" s="794"/>
      <c r="B181" s="227"/>
      <c r="C181" s="112">
        <f t="shared" si="13"/>
        <v>0</v>
      </c>
      <c r="D181" s="121"/>
      <c r="E181" s="113"/>
      <c r="F181" s="116"/>
    </row>
    <row r="182" spans="1:6" ht="40.5" customHeight="1" hidden="1">
      <c r="A182" s="794"/>
      <c r="B182" s="227"/>
      <c r="C182" s="112">
        <f t="shared" si="13"/>
        <v>0</v>
      </c>
      <c r="D182" s="121"/>
      <c r="E182" s="113"/>
      <c r="F182" s="116"/>
    </row>
    <row r="183" spans="1:6" ht="44.25" customHeight="1">
      <c r="A183" s="794"/>
      <c r="B183" s="895" t="s">
        <v>637</v>
      </c>
      <c r="C183" s="896">
        <f t="shared" si="13"/>
        <v>2213</v>
      </c>
      <c r="D183" s="899">
        <v>2213</v>
      </c>
      <c r="E183" s="897"/>
      <c r="F183" s="116"/>
    </row>
    <row r="184" spans="1:11" ht="24.75" customHeight="1">
      <c r="A184" s="795"/>
      <c r="B184" s="232" t="s">
        <v>843</v>
      </c>
      <c r="C184" s="117">
        <f>D184+E184</f>
        <v>2213</v>
      </c>
      <c r="D184" s="122">
        <f>SUM(D179:D183)</f>
        <v>2213</v>
      </c>
      <c r="E184" s="122">
        <f>SUM(E179:E183)</f>
        <v>0</v>
      </c>
      <c r="F184" s="116"/>
      <c r="H184" s="130">
        <f>'Дод.4'!X32</f>
        <v>2213</v>
      </c>
      <c r="I184" s="130">
        <f>'Дод.4'!AC32</f>
        <v>0</v>
      </c>
      <c r="J184" s="220">
        <f>H184-D184</f>
        <v>0</v>
      </c>
      <c r="K184" s="220">
        <f>I184-E184</f>
        <v>0</v>
      </c>
    </row>
    <row r="185" spans="1:6" ht="44.25" customHeight="1" hidden="1">
      <c r="A185" s="796" t="s">
        <v>834</v>
      </c>
      <c r="B185" s="226"/>
      <c r="C185" s="112">
        <f>D185+E185</f>
        <v>0</v>
      </c>
      <c r="D185" s="121"/>
      <c r="E185" s="121"/>
      <c r="F185" s="116"/>
    </row>
    <row r="186" spans="1:6" ht="29.25" customHeight="1" hidden="1">
      <c r="A186" s="794"/>
      <c r="B186" s="226"/>
      <c r="C186" s="112">
        <f>D186+E186</f>
        <v>0</v>
      </c>
      <c r="D186" s="121"/>
      <c r="E186" s="121"/>
      <c r="F186" s="116"/>
    </row>
    <row r="187" spans="1:6" ht="48" customHeight="1" hidden="1">
      <c r="A187" s="794"/>
      <c r="B187" s="226"/>
      <c r="C187" s="112">
        <f>D187+E187</f>
        <v>0</v>
      </c>
      <c r="D187" s="121"/>
      <c r="E187" s="121"/>
      <c r="F187" s="116"/>
    </row>
    <row r="188" spans="1:6" ht="45.75" customHeight="1" hidden="1">
      <c r="A188" s="794"/>
      <c r="B188" s="226"/>
      <c r="C188" s="112">
        <f t="shared" si="13"/>
        <v>0</v>
      </c>
      <c r="D188" s="121"/>
      <c r="E188" s="121"/>
      <c r="F188" s="116"/>
    </row>
    <row r="189" spans="1:6" ht="30" customHeight="1" hidden="1">
      <c r="A189" s="794"/>
      <c r="B189" s="226"/>
      <c r="C189" s="112">
        <f>D189+E189</f>
        <v>0</v>
      </c>
      <c r="D189" s="121"/>
      <c r="E189" s="121"/>
      <c r="F189" s="116"/>
    </row>
    <row r="190" spans="1:6" ht="50.25" customHeight="1" hidden="1">
      <c r="A190" s="794"/>
      <c r="B190" s="227"/>
      <c r="C190" s="112">
        <f t="shared" si="13"/>
        <v>0</v>
      </c>
      <c r="D190" s="121"/>
      <c r="E190" s="121"/>
      <c r="F190" s="116"/>
    </row>
    <row r="191" spans="1:6" ht="53.25" customHeight="1" hidden="1">
      <c r="A191" s="794"/>
      <c r="B191" s="225"/>
      <c r="C191" s="112">
        <f t="shared" si="13"/>
        <v>0</v>
      </c>
      <c r="D191" s="223"/>
      <c r="E191" s="121"/>
      <c r="F191" s="116"/>
    </row>
    <row r="192" spans="1:6" ht="42" customHeight="1">
      <c r="A192" s="794"/>
      <c r="B192" s="227" t="s">
        <v>845</v>
      </c>
      <c r="C192" s="112">
        <f t="shared" si="13"/>
        <v>1675527</v>
      </c>
      <c r="D192" s="121">
        <f>'Дод.4'!Y34</f>
        <v>1675527</v>
      </c>
      <c r="E192" s="113"/>
      <c r="F192" s="116"/>
    </row>
    <row r="193" spans="1:11" ht="27.75" customHeight="1">
      <c r="A193" s="795"/>
      <c r="B193" s="232" t="s">
        <v>843</v>
      </c>
      <c r="C193" s="117">
        <f>D193+E193</f>
        <v>1675527</v>
      </c>
      <c r="D193" s="122">
        <f>SUM(D185:D192)</f>
        <v>1675527</v>
      </c>
      <c r="E193" s="122">
        <f>SUM(E185:E192)</f>
        <v>0</v>
      </c>
      <c r="F193" s="116"/>
      <c r="H193" s="130">
        <f>'Дод.4'!X34</f>
        <v>1675527</v>
      </c>
      <c r="I193" s="130">
        <f>'Дод.4'!AC34</f>
        <v>0</v>
      </c>
      <c r="J193" s="220">
        <f>H193-D193</f>
        <v>0</v>
      </c>
      <c r="K193" s="220">
        <f>I193-E193</f>
        <v>0</v>
      </c>
    </row>
    <row r="194" spans="1:7" ht="45" customHeight="1" hidden="1">
      <c r="A194" s="794" t="s">
        <v>487</v>
      </c>
      <c r="B194" s="226"/>
      <c r="C194" s="112">
        <f aca="true" t="shared" si="14" ref="C194:C209">D194+E194</f>
        <v>0</v>
      </c>
      <c r="D194" s="112"/>
      <c r="E194" s="112"/>
      <c r="F194" s="190"/>
      <c r="G194" s="106"/>
    </row>
    <row r="195" spans="1:7" ht="45" customHeight="1" hidden="1">
      <c r="A195" s="794"/>
      <c r="B195" s="227"/>
      <c r="C195" s="112">
        <f>D195+E195</f>
        <v>0</v>
      </c>
      <c r="D195" s="112"/>
      <c r="E195" s="112"/>
      <c r="F195" s="190"/>
      <c r="G195" s="106"/>
    </row>
    <row r="196" spans="1:9" ht="45" customHeight="1" hidden="1">
      <c r="A196" s="794"/>
      <c r="B196" s="227"/>
      <c r="C196" s="112">
        <f t="shared" si="14"/>
        <v>0</v>
      </c>
      <c r="D196" s="112"/>
      <c r="E196" s="112"/>
      <c r="F196" s="190"/>
      <c r="G196" s="106"/>
      <c r="I196" s="116"/>
    </row>
    <row r="197" spans="1:9" ht="45" customHeight="1" hidden="1">
      <c r="A197" s="794"/>
      <c r="B197" s="227"/>
      <c r="C197" s="112">
        <f t="shared" si="14"/>
        <v>0</v>
      </c>
      <c r="D197" s="112"/>
      <c r="E197" s="112"/>
      <c r="F197" s="190"/>
      <c r="G197" s="106"/>
      <c r="I197" s="116"/>
    </row>
    <row r="198" spans="1:9" ht="27.75" customHeight="1" hidden="1">
      <c r="A198" s="794"/>
      <c r="B198" s="227"/>
      <c r="C198" s="112">
        <f t="shared" si="14"/>
        <v>0</v>
      </c>
      <c r="D198" s="112"/>
      <c r="E198" s="112"/>
      <c r="F198" s="190"/>
      <c r="G198" s="106"/>
      <c r="I198" s="116"/>
    </row>
    <row r="199" spans="1:11" ht="39" customHeight="1" hidden="1">
      <c r="A199" s="795"/>
      <c r="B199" s="232" t="s">
        <v>843</v>
      </c>
      <c r="C199" s="117">
        <f t="shared" si="14"/>
        <v>0</v>
      </c>
      <c r="D199" s="117">
        <f>SUM(D194:D198)</f>
        <v>0</v>
      </c>
      <c r="E199" s="117">
        <f>SUM(E194:E198)</f>
        <v>0</v>
      </c>
      <c r="F199" s="190"/>
      <c r="G199" s="106"/>
      <c r="H199" s="130">
        <f>'Дод.4'!X33</f>
        <v>0</v>
      </c>
      <c r="I199" s="188">
        <f>'Дод.4'!AC33</f>
        <v>0</v>
      </c>
      <c r="J199" s="220">
        <f>H199-D199</f>
        <v>0</v>
      </c>
      <c r="K199" s="220">
        <f>I199-E199</f>
        <v>0</v>
      </c>
    </row>
    <row r="200" spans="1:11" ht="42" customHeight="1" hidden="1">
      <c r="A200" s="802" t="s">
        <v>835</v>
      </c>
      <c r="B200" s="226"/>
      <c r="C200" s="112">
        <f t="shared" si="14"/>
        <v>0</v>
      </c>
      <c r="D200" s="112"/>
      <c r="E200" s="112"/>
      <c r="F200" s="190"/>
      <c r="G200" s="106"/>
      <c r="H200" s="130"/>
      <c r="I200" s="188"/>
      <c r="J200" s="220"/>
      <c r="K200" s="220"/>
    </row>
    <row r="201" spans="1:11" ht="63" customHeight="1" hidden="1">
      <c r="A201" s="803"/>
      <c r="B201" s="226"/>
      <c r="C201" s="112">
        <f t="shared" si="14"/>
        <v>0</v>
      </c>
      <c r="D201" s="112"/>
      <c r="E201" s="112"/>
      <c r="F201" s="190"/>
      <c r="G201" s="106"/>
      <c r="H201" s="130"/>
      <c r="I201" s="188"/>
      <c r="J201" s="220"/>
      <c r="K201" s="220"/>
    </row>
    <row r="202" spans="1:11" ht="45.75" customHeight="1" hidden="1">
      <c r="A202" s="803"/>
      <c r="B202" s="226"/>
      <c r="C202" s="112">
        <f t="shared" si="14"/>
        <v>0</v>
      </c>
      <c r="D202" s="112"/>
      <c r="E202" s="112"/>
      <c r="F202" s="190"/>
      <c r="G202" s="106"/>
      <c r="H202" s="130"/>
      <c r="I202" s="188"/>
      <c r="J202" s="220"/>
      <c r="K202" s="220"/>
    </row>
    <row r="203" spans="1:11" ht="45.75" customHeight="1" hidden="1">
      <c r="A203" s="803"/>
      <c r="B203" s="226"/>
      <c r="C203" s="112">
        <f t="shared" si="14"/>
        <v>0</v>
      </c>
      <c r="D203" s="112"/>
      <c r="E203" s="112"/>
      <c r="F203" s="190"/>
      <c r="G203" s="106"/>
      <c r="H203" s="130"/>
      <c r="I203" s="188"/>
      <c r="J203" s="220"/>
      <c r="K203" s="220"/>
    </row>
    <row r="204" spans="1:11" ht="45.75" customHeight="1" hidden="1">
      <c r="A204" s="803"/>
      <c r="B204" s="226"/>
      <c r="C204" s="112">
        <f t="shared" si="14"/>
        <v>0</v>
      </c>
      <c r="D204" s="112"/>
      <c r="E204" s="112"/>
      <c r="F204" s="190"/>
      <c r="G204" s="106"/>
      <c r="H204" s="130"/>
      <c r="I204" s="188"/>
      <c r="J204" s="220"/>
      <c r="K204" s="220"/>
    </row>
    <row r="205" spans="1:11" ht="45.75" customHeight="1" hidden="1">
      <c r="A205" s="803"/>
      <c r="B205" s="226"/>
      <c r="C205" s="112">
        <f t="shared" si="14"/>
        <v>0</v>
      </c>
      <c r="D205" s="112"/>
      <c r="E205" s="112"/>
      <c r="F205" s="190"/>
      <c r="G205" s="106"/>
      <c r="H205" s="130"/>
      <c r="I205" s="188"/>
      <c r="J205" s="220"/>
      <c r="K205" s="220"/>
    </row>
    <row r="206" spans="1:11" ht="48" customHeight="1" hidden="1">
      <c r="A206" s="803"/>
      <c r="B206" s="226"/>
      <c r="C206" s="112">
        <f t="shared" si="14"/>
        <v>0</v>
      </c>
      <c r="D206" s="112"/>
      <c r="E206" s="112"/>
      <c r="F206" s="190"/>
      <c r="G206" s="106"/>
      <c r="H206" s="130"/>
      <c r="I206" s="188"/>
      <c r="J206" s="220"/>
      <c r="K206" s="220"/>
    </row>
    <row r="207" spans="1:11" ht="42" customHeight="1" hidden="1">
      <c r="A207" s="803"/>
      <c r="B207" s="226"/>
      <c r="C207" s="112">
        <f>D207+E207</f>
        <v>0</v>
      </c>
      <c r="D207" s="112"/>
      <c r="E207" s="112"/>
      <c r="F207" s="190"/>
      <c r="G207" s="106"/>
      <c r="H207" s="130"/>
      <c r="I207" s="188"/>
      <c r="J207" s="220"/>
      <c r="K207" s="220"/>
    </row>
    <row r="208" spans="1:11" ht="45.75" customHeight="1" hidden="1">
      <c r="A208" s="803"/>
      <c r="B208" s="226"/>
      <c r="C208" s="112">
        <f t="shared" si="14"/>
        <v>0</v>
      </c>
      <c r="D208" s="112"/>
      <c r="E208" s="112"/>
      <c r="F208" s="190"/>
      <c r="G208" s="106"/>
      <c r="H208" s="130"/>
      <c r="I208" s="188"/>
      <c r="J208" s="220"/>
      <c r="K208" s="220"/>
    </row>
    <row r="209" spans="1:11" ht="44.25" customHeight="1" hidden="1">
      <c r="A209" s="803"/>
      <c r="B209" s="226"/>
      <c r="C209" s="112">
        <f t="shared" si="14"/>
        <v>0</v>
      </c>
      <c r="D209" s="112"/>
      <c r="E209" s="112"/>
      <c r="F209" s="190"/>
      <c r="G209" s="106"/>
      <c r="H209" s="130"/>
      <c r="I209" s="188"/>
      <c r="J209" s="220"/>
      <c r="K209" s="220"/>
    </row>
    <row r="210" spans="1:11" ht="44.25" customHeight="1" hidden="1">
      <c r="A210" s="803"/>
      <c r="B210" s="227"/>
      <c r="C210" s="112">
        <f>D210+E210</f>
        <v>0</v>
      </c>
      <c r="D210" s="112"/>
      <c r="E210" s="112"/>
      <c r="F210" s="190"/>
      <c r="G210" s="106"/>
      <c r="H210" s="130"/>
      <c r="I210" s="188"/>
      <c r="J210" s="220"/>
      <c r="K210" s="220"/>
    </row>
    <row r="211" spans="1:11" ht="48" customHeight="1" hidden="1">
      <c r="A211" s="803"/>
      <c r="B211" s="226"/>
      <c r="C211" s="112">
        <f aca="true" t="shared" si="15" ref="C211:C230">D211+E211</f>
        <v>0</v>
      </c>
      <c r="D211" s="112"/>
      <c r="E211" s="112"/>
      <c r="F211" s="190"/>
      <c r="G211" s="106"/>
      <c r="H211" s="130"/>
      <c r="I211" s="188"/>
      <c r="J211" s="220"/>
      <c r="K211" s="220"/>
    </row>
    <row r="212" spans="1:11" ht="30" customHeight="1" hidden="1">
      <c r="A212" s="803"/>
      <c r="B212" s="226"/>
      <c r="C212" s="112">
        <f t="shared" si="15"/>
        <v>0</v>
      </c>
      <c r="D212" s="112"/>
      <c r="E212" s="112"/>
      <c r="F212" s="190"/>
      <c r="G212" s="106"/>
      <c r="H212" s="130"/>
      <c r="I212" s="188"/>
      <c r="J212" s="220"/>
      <c r="K212" s="220"/>
    </row>
    <row r="213" spans="1:11" ht="45.75" customHeight="1" hidden="1">
      <c r="A213" s="803"/>
      <c r="B213" s="227"/>
      <c r="C213" s="112">
        <f t="shared" si="15"/>
        <v>0</v>
      </c>
      <c r="D213" s="112"/>
      <c r="E213" s="112"/>
      <c r="F213" s="190"/>
      <c r="G213" s="106"/>
      <c r="H213" s="130"/>
      <c r="I213" s="188"/>
      <c r="J213" s="220"/>
      <c r="K213" s="220"/>
    </row>
    <row r="214" spans="1:11" ht="27.75" customHeight="1" hidden="1">
      <c r="A214" s="803"/>
      <c r="B214" s="227"/>
      <c r="C214" s="112">
        <f>D214+E214</f>
        <v>0</v>
      </c>
      <c r="D214" s="112"/>
      <c r="E214" s="112"/>
      <c r="F214" s="190"/>
      <c r="G214" s="106"/>
      <c r="H214" s="130"/>
      <c r="I214" s="188"/>
      <c r="J214" s="220"/>
      <c r="K214" s="220"/>
    </row>
    <row r="215" spans="1:11" ht="47.25" customHeight="1" hidden="1">
      <c r="A215" s="803"/>
      <c r="B215" s="227"/>
      <c r="C215" s="112">
        <f>D215+E215</f>
        <v>0</v>
      </c>
      <c r="D215" s="112"/>
      <c r="E215" s="112"/>
      <c r="F215" s="190"/>
      <c r="G215" s="106"/>
      <c r="H215" s="130"/>
      <c r="I215" s="188"/>
      <c r="J215" s="220"/>
      <c r="K215" s="220"/>
    </row>
    <row r="216" spans="1:11" ht="65.25" customHeight="1" hidden="1">
      <c r="A216" s="803"/>
      <c r="B216" s="227"/>
      <c r="C216" s="112">
        <f t="shared" si="15"/>
        <v>0</v>
      </c>
      <c r="D216" s="112"/>
      <c r="E216" s="112"/>
      <c r="F216" s="190"/>
      <c r="G216" s="106"/>
      <c r="H216" s="130"/>
      <c r="I216" s="188"/>
      <c r="J216" s="220"/>
      <c r="K216" s="220"/>
    </row>
    <row r="217" spans="1:11" ht="84" customHeight="1" hidden="1">
      <c r="A217" s="803"/>
      <c r="B217" s="227"/>
      <c r="C217" s="112">
        <f t="shared" si="15"/>
        <v>0</v>
      </c>
      <c r="D217" s="112"/>
      <c r="E217" s="112"/>
      <c r="F217" s="190"/>
      <c r="G217" s="106"/>
      <c r="H217" s="130"/>
      <c r="I217" s="188"/>
      <c r="J217" s="220"/>
      <c r="K217" s="220"/>
    </row>
    <row r="218" spans="1:11" ht="45" customHeight="1" hidden="1">
      <c r="A218" s="803"/>
      <c r="B218" s="227"/>
      <c r="C218" s="112">
        <f t="shared" si="15"/>
        <v>0</v>
      </c>
      <c r="D218" s="112"/>
      <c r="E218" s="112"/>
      <c r="F218" s="190"/>
      <c r="G218" s="106"/>
      <c r="H218" s="130"/>
      <c r="I218" s="188"/>
      <c r="J218" s="220"/>
      <c r="K218" s="220"/>
    </row>
    <row r="219" spans="1:11" ht="46.5" customHeight="1" hidden="1">
      <c r="A219" s="803"/>
      <c r="B219" s="227"/>
      <c r="C219" s="112">
        <f t="shared" si="15"/>
        <v>0</v>
      </c>
      <c r="D219" s="112"/>
      <c r="E219" s="112"/>
      <c r="F219" s="190"/>
      <c r="G219" s="106"/>
      <c r="H219" s="130"/>
      <c r="I219" s="188"/>
      <c r="J219" s="220"/>
      <c r="K219" s="220"/>
    </row>
    <row r="220" spans="1:11" ht="45" customHeight="1" hidden="1">
      <c r="A220" s="803"/>
      <c r="B220" s="227"/>
      <c r="C220" s="112">
        <f t="shared" si="15"/>
        <v>0</v>
      </c>
      <c r="D220" s="117"/>
      <c r="E220" s="112"/>
      <c r="F220" s="190"/>
      <c r="G220" s="106"/>
      <c r="H220" s="130"/>
      <c r="I220" s="188"/>
      <c r="J220" s="220"/>
      <c r="K220" s="220"/>
    </row>
    <row r="221" spans="1:11" ht="48" customHeight="1" hidden="1">
      <c r="A221" s="803"/>
      <c r="B221" s="227"/>
      <c r="C221" s="112">
        <f t="shared" si="15"/>
        <v>0</v>
      </c>
      <c r="D221" s="112"/>
      <c r="E221" s="112"/>
      <c r="F221" s="190"/>
      <c r="G221" s="106"/>
      <c r="H221" s="130"/>
      <c r="I221" s="188"/>
      <c r="J221" s="220"/>
      <c r="K221" s="220"/>
    </row>
    <row r="222" spans="1:11" ht="60.75" customHeight="1" hidden="1">
      <c r="A222" s="803"/>
      <c r="B222" s="226"/>
      <c r="C222" s="112">
        <f t="shared" si="15"/>
        <v>0</v>
      </c>
      <c r="D222" s="112"/>
      <c r="E222" s="112"/>
      <c r="F222" s="190"/>
      <c r="G222" s="106"/>
      <c r="H222" s="130"/>
      <c r="I222" s="188"/>
      <c r="J222" s="220"/>
      <c r="K222" s="220"/>
    </row>
    <row r="223" spans="1:7" ht="41.25" customHeight="1">
      <c r="A223" s="803"/>
      <c r="B223" s="227" t="s">
        <v>845</v>
      </c>
      <c r="C223" s="112">
        <f t="shared" si="15"/>
        <v>17340376</v>
      </c>
      <c r="D223" s="112">
        <f>'Дод.4'!Y36</f>
        <v>17340376</v>
      </c>
      <c r="E223" s="112"/>
      <c r="F223" s="190"/>
      <c r="G223" s="106"/>
    </row>
    <row r="224" spans="1:11" ht="29.25" customHeight="1">
      <c r="A224" s="804"/>
      <c r="B224" s="232" t="s">
        <v>843</v>
      </c>
      <c r="C224" s="117">
        <f t="shared" si="15"/>
        <v>17340376</v>
      </c>
      <c r="D224" s="117">
        <f>SUM(D200:D223)</f>
        <v>17340376</v>
      </c>
      <c r="E224" s="117">
        <f>SUM(E200:E223)</f>
        <v>0</v>
      </c>
      <c r="F224" s="212"/>
      <c r="G224" s="131"/>
      <c r="H224" s="130">
        <f>'Дод.4'!X36</f>
        <v>17340376</v>
      </c>
      <c r="I224" s="188">
        <f>'Дод.4'!AC36</f>
        <v>0</v>
      </c>
      <c r="J224" s="220">
        <f>H224-D224</f>
        <v>0</v>
      </c>
      <c r="K224" s="220">
        <f>I224-E224</f>
        <v>0</v>
      </c>
    </row>
    <row r="225" spans="1:9" ht="68.25" customHeight="1" hidden="1">
      <c r="A225" s="799" t="s">
        <v>33</v>
      </c>
      <c r="B225" s="226"/>
      <c r="C225" s="112">
        <f t="shared" si="15"/>
        <v>0</v>
      </c>
      <c r="D225" s="112"/>
      <c r="E225" s="112"/>
      <c r="F225" s="213"/>
      <c r="G225" s="172"/>
      <c r="H225" s="130"/>
      <c r="I225" s="188"/>
    </row>
    <row r="226" spans="1:9" ht="64.5" customHeight="1" hidden="1">
      <c r="A226" s="800"/>
      <c r="B226" s="226"/>
      <c r="C226" s="112">
        <f>D226+E226</f>
        <v>0</v>
      </c>
      <c r="D226" s="112"/>
      <c r="E226" s="112"/>
      <c r="F226" s="213"/>
      <c r="G226" s="172"/>
      <c r="H226" s="130"/>
      <c r="I226" s="188"/>
    </row>
    <row r="227" spans="1:9" ht="73.5" customHeight="1" hidden="1">
      <c r="A227" s="800"/>
      <c r="B227" s="226"/>
      <c r="C227" s="112">
        <f t="shared" si="15"/>
        <v>0</v>
      </c>
      <c r="D227" s="112"/>
      <c r="E227" s="112"/>
      <c r="F227" s="213"/>
      <c r="G227" s="172"/>
      <c r="H227" s="130"/>
      <c r="I227" s="188"/>
    </row>
    <row r="228" spans="1:9" ht="66.75" customHeight="1" hidden="1">
      <c r="A228" s="800"/>
      <c r="B228" s="226"/>
      <c r="C228" s="112">
        <f t="shared" si="15"/>
        <v>0</v>
      </c>
      <c r="D228" s="112"/>
      <c r="E228" s="112"/>
      <c r="F228" s="212"/>
      <c r="G228" s="131"/>
      <c r="H228" s="130"/>
      <c r="I228" s="130"/>
    </row>
    <row r="229" spans="1:9" ht="64.5" customHeight="1" hidden="1">
      <c r="A229" s="800"/>
      <c r="B229" s="226"/>
      <c r="C229" s="112">
        <f t="shared" si="15"/>
        <v>0</v>
      </c>
      <c r="D229" s="112"/>
      <c r="E229" s="112"/>
      <c r="F229" s="212"/>
      <c r="G229" s="131"/>
      <c r="H229" s="130"/>
      <c r="I229" s="130"/>
    </row>
    <row r="230" spans="1:11" ht="28.5" customHeight="1" hidden="1">
      <c r="A230" s="801"/>
      <c r="B230" s="233" t="s">
        <v>843</v>
      </c>
      <c r="C230" s="117">
        <f t="shared" si="15"/>
        <v>0</v>
      </c>
      <c r="D230" s="117">
        <f>SUM(D225:D229)</f>
        <v>0</v>
      </c>
      <c r="E230" s="117">
        <f>SUM(E225:E229)</f>
        <v>0</v>
      </c>
      <c r="F230" s="212"/>
      <c r="G230" s="131"/>
      <c r="H230" s="130">
        <f>'Дод.4'!X39</f>
        <v>0</v>
      </c>
      <c r="I230" s="130">
        <f>'Дод.4'!AC39</f>
        <v>0</v>
      </c>
      <c r="J230" s="220">
        <f>H230-D230</f>
        <v>0</v>
      </c>
      <c r="K230" s="220">
        <f>I230-E230</f>
        <v>0</v>
      </c>
    </row>
    <row r="231" spans="1:11" ht="18.75">
      <c r="A231" s="792" t="s">
        <v>843</v>
      </c>
      <c r="B231" s="793"/>
      <c r="C231" s="117">
        <f>D231+E231</f>
        <v>39312762</v>
      </c>
      <c r="D231" s="124">
        <f>D17+D24+D31+D45+D59+D66+D77+D83+D91+D99+D110+D125+D137+D143+D149+D159+D165+D178+D184+D193+D199+D224+D230</f>
        <v>38912762</v>
      </c>
      <c r="E231" s="124">
        <f>E17+E24+E31+E45+E59+E66+E77+E83+E91+E99+E110+E125+E137+E143+E149+E159+E165+E178+E184+E193+E199+E224+E230</f>
        <v>400000</v>
      </c>
      <c r="F231" s="133" t="e">
        <f>F17+#REF!+F24+F31+F45+F59+F66+F77+#REF!+F91+#REF!+F99+#REF!+F110+#REF!+F125+#REF!+#REF!+F137+F143+F149+#REF!+F159+F165+F178+F184+#REF!+F193+F224+F199+F83</f>
        <v>#REF!</v>
      </c>
      <c r="G231" s="133" t="e">
        <f>G17+#REF!+G24+G31+G45+G59+G66+G77+#REF!+G91+#REF!+G99+#REF!+G110+#REF!+G125+#REF!+#REF!+G137+G143+G149+#REF!+G159+G165+G178+G184+#REF!+G193+G224+G199+G83</f>
        <v>#REF!</v>
      </c>
      <c r="H231" s="130">
        <f>'Дод.4'!X40</f>
        <v>38912762</v>
      </c>
      <c r="I231" s="130">
        <f>'Дод.4'!AC40</f>
        <v>400000</v>
      </c>
      <c r="J231" s="220">
        <f>H231-D231</f>
        <v>0</v>
      </c>
      <c r="K231" s="220">
        <f>I231-E231</f>
        <v>0</v>
      </c>
    </row>
    <row r="232" spans="1:5" ht="18.75" customHeight="1">
      <c r="A232" s="116"/>
      <c r="B232" s="116"/>
      <c r="C232" s="224"/>
      <c r="D232" s="224"/>
      <c r="E232" s="224"/>
    </row>
    <row r="233" spans="1:5" ht="18.75">
      <c r="A233" s="116"/>
      <c r="B233" s="116" t="s">
        <v>7</v>
      </c>
      <c r="C233" s="224"/>
      <c r="D233" s="116" t="s">
        <v>434</v>
      </c>
      <c r="E233" s="224"/>
    </row>
    <row r="234" spans="1:5" ht="18.75">
      <c r="A234" s="99" t="s">
        <v>687</v>
      </c>
      <c r="B234" s="99" t="s">
        <v>243</v>
      </c>
      <c r="C234" s="130">
        <f>'Дод.3'!S106</f>
        <v>39312762</v>
      </c>
      <c r="D234" s="130">
        <f>'Дод.3'!H106</f>
        <v>38912762</v>
      </c>
      <c r="E234" s="130">
        <f>'Дод.3'!M106</f>
        <v>400000</v>
      </c>
    </row>
    <row r="235" spans="3:5" ht="18.75">
      <c r="C235" s="433">
        <f>C234-C231</f>
        <v>0</v>
      </c>
      <c r="D235" s="433">
        <f>D234-D231</f>
        <v>0</v>
      </c>
      <c r="E235" s="433">
        <f>E234-E231</f>
        <v>0</v>
      </c>
    </row>
    <row r="236" spans="3:5" ht="18.75">
      <c r="C236" s="134"/>
      <c r="D236" s="134"/>
      <c r="E236" s="134"/>
    </row>
    <row r="237" spans="3:5" ht="18.75">
      <c r="C237" s="134"/>
      <c r="D237" s="134"/>
      <c r="E237" s="134"/>
    </row>
    <row r="238" spans="3:5" ht="18.75">
      <c r="C238" s="134"/>
      <c r="D238" s="134"/>
      <c r="E238" s="134"/>
    </row>
    <row r="239" spans="3:5" ht="18.75">
      <c r="C239" s="134"/>
      <c r="D239" s="134"/>
      <c r="E239" s="134"/>
    </row>
    <row r="240" spans="3:5" ht="18.75">
      <c r="C240" s="134"/>
      <c r="D240" s="134"/>
      <c r="E240" s="134"/>
    </row>
    <row r="241" spans="3:5" ht="18.75">
      <c r="C241" s="134"/>
      <c r="D241" s="134"/>
      <c r="E241" s="134"/>
    </row>
    <row r="242" spans="3:5" ht="18.75">
      <c r="C242" s="134"/>
      <c r="D242" s="134"/>
      <c r="E242" s="134"/>
    </row>
    <row r="243" spans="3:5" ht="18.75">
      <c r="C243" s="134"/>
      <c r="D243" s="134"/>
      <c r="E243" s="134"/>
    </row>
  </sheetData>
  <sheetProtection/>
  <mergeCells count="28">
    <mergeCell ref="A60:A66"/>
    <mergeCell ref="H6:I6"/>
    <mergeCell ref="J6:K6"/>
    <mergeCell ref="A84:A91"/>
    <mergeCell ref="A67:A77"/>
    <mergeCell ref="A78:A83"/>
    <mergeCell ref="A150:A159"/>
    <mergeCell ref="A100:A110"/>
    <mergeCell ref="A92:A99"/>
    <mergeCell ref="A138:A143"/>
    <mergeCell ref="A111:A125"/>
    <mergeCell ref="A144:A149"/>
    <mergeCell ref="A126:A137"/>
    <mergeCell ref="D3:E3"/>
    <mergeCell ref="A4:F4"/>
    <mergeCell ref="A46:A59"/>
    <mergeCell ref="A8:A17"/>
    <mergeCell ref="A32:A45"/>
    <mergeCell ref="A18:A24"/>
    <mergeCell ref="A25:A31"/>
    <mergeCell ref="A231:B231"/>
    <mergeCell ref="A194:A199"/>
    <mergeCell ref="A160:A165"/>
    <mergeCell ref="A225:A230"/>
    <mergeCell ref="A185:A193"/>
    <mergeCell ref="A179:A184"/>
    <mergeCell ref="A166:A178"/>
    <mergeCell ref="A200:A224"/>
  </mergeCells>
  <printOptions/>
  <pageMargins left="0.75" right="0.75" top="0.69" bottom="0.6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157"/>
  <sheetViews>
    <sheetView view="pageBreakPreview" zoomScale="60" zoomScaleNormal="55" zoomScalePageLayoutView="0" workbookViewId="0" topLeftCell="C67">
      <selection activeCell="E83" sqref="E83:K99"/>
    </sheetView>
  </sheetViews>
  <sheetFormatPr defaultColWidth="9.00390625" defaultRowHeight="12.75"/>
  <cols>
    <col min="1" max="1" width="12.75390625" style="0" hidden="1" customWidth="1"/>
    <col min="2" max="2" width="19.00390625" style="529" customWidth="1"/>
    <col min="3" max="3" width="18.375" style="529" customWidth="1"/>
    <col min="4" max="4" width="22.75390625" style="529" customWidth="1"/>
    <col min="5" max="5" width="48.25390625" style="0" customWidth="1"/>
    <col min="6" max="6" width="62.875" style="191" customWidth="1"/>
    <col min="7" max="7" width="24.375" style="191" customWidth="1"/>
    <col min="8" max="8" width="18.25390625" style="508" customWidth="1"/>
    <col min="9" max="9" width="18.25390625" style="0" customWidth="1"/>
    <col min="10" max="11" width="17.625" style="0" customWidth="1"/>
    <col min="12" max="12" width="20.00390625" style="402" customWidth="1"/>
    <col min="13" max="13" width="22.875" style="552" customWidth="1"/>
    <col min="14" max="14" width="20.875" style="402" customWidth="1"/>
    <col min="15" max="15" width="17.375" style="552" customWidth="1"/>
    <col min="16" max="16" width="11.25390625" style="402" hidden="1" customWidth="1"/>
    <col min="17" max="17" width="9.75390625" style="402" hidden="1" customWidth="1"/>
    <col min="18" max="18" width="9.125" style="402" customWidth="1"/>
    <col min="19" max="19" width="27.625" style="0" hidden="1" customWidth="1"/>
    <col min="20" max="20" width="18.125" style="0" customWidth="1"/>
    <col min="21" max="21" width="27.00390625" style="0" customWidth="1"/>
    <col min="22" max="22" width="23.125" style="0" customWidth="1"/>
    <col min="23" max="23" width="27.75390625" style="0" customWidth="1"/>
  </cols>
  <sheetData>
    <row r="1" spans="2:11" ht="20.25">
      <c r="B1" s="174"/>
      <c r="C1" s="174"/>
      <c r="D1" s="174"/>
      <c r="E1" s="173"/>
      <c r="F1" s="192"/>
      <c r="G1" s="192"/>
      <c r="H1" s="504"/>
      <c r="I1" s="833" t="s">
        <v>803</v>
      </c>
      <c r="J1" s="834"/>
      <c r="K1" s="834"/>
    </row>
    <row r="2" spans="2:11" ht="20.25">
      <c r="B2" s="174"/>
      <c r="C2" s="174"/>
      <c r="D2" s="174"/>
      <c r="E2" s="173"/>
      <c r="F2" s="192"/>
      <c r="G2" s="192"/>
      <c r="H2" s="504"/>
      <c r="I2" s="835" t="s">
        <v>101</v>
      </c>
      <c r="J2" s="836"/>
      <c r="K2" s="836"/>
    </row>
    <row r="3" spans="2:11" ht="20.25">
      <c r="B3" s="174"/>
      <c r="C3" s="174"/>
      <c r="D3" s="174"/>
      <c r="E3" s="173"/>
      <c r="F3" s="192"/>
      <c r="G3" s="192"/>
      <c r="H3" s="504"/>
      <c r="I3" s="837" t="s">
        <v>658</v>
      </c>
      <c r="J3" s="834"/>
      <c r="K3" s="834"/>
    </row>
    <row r="4" spans="2:11" ht="20.25" customHeight="1">
      <c r="B4" s="850" t="s">
        <v>870</v>
      </c>
      <c r="C4" s="850"/>
      <c r="D4" s="850"/>
      <c r="E4" s="850"/>
      <c r="F4" s="850"/>
      <c r="G4" s="438"/>
      <c r="H4" s="438"/>
      <c r="I4" s="176"/>
      <c r="J4" s="175"/>
      <c r="K4" s="175"/>
    </row>
    <row r="5" spans="2:11" ht="21" customHeight="1">
      <c r="B5" s="177"/>
      <c r="C5" s="177"/>
      <c r="D5" s="177"/>
      <c r="E5" s="177"/>
      <c r="F5" s="177"/>
      <c r="G5" s="177"/>
      <c r="H5" s="177"/>
      <c r="I5" s="838" t="s">
        <v>871</v>
      </c>
      <c r="J5" s="839"/>
      <c r="K5" s="839"/>
    </row>
    <row r="6" spans="2:11" ht="7.5" customHeight="1" hidden="1">
      <c r="B6" s="174"/>
      <c r="C6" s="174"/>
      <c r="D6" s="174"/>
      <c r="E6" s="173"/>
      <c r="F6" s="193"/>
      <c r="G6" s="193"/>
      <c r="H6" s="504"/>
      <c r="I6" s="178"/>
      <c r="J6" s="175"/>
      <c r="K6" s="175"/>
    </row>
    <row r="7" spans="2:11" ht="24" customHeight="1">
      <c r="B7" s="845" t="s">
        <v>546</v>
      </c>
      <c r="C7" s="845" t="s">
        <v>545</v>
      </c>
      <c r="D7" s="845" t="s">
        <v>170</v>
      </c>
      <c r="E7" s="845" t="s">
        <v>547</v>
      </c>
      <c r="F7" s="845" t="s">
        <v>548</v>
      </c>
      <c r="G7" s="845" t="s">
        <v>549</v>
      </c>
      <c r="H7" s="845" t="s">
        <v>160</v>
      </c>
      <c r="I7" s="855" t="s">
        <v>283</v>
      </c>
      <c r="J7" s="851" t="s">
        <v>861</v>
      </c>
      <c r="K7" s="852"/>
    </row>
    <row r="8" spans="2:11" ht="71.25" customHeight="1">
      <c r="B8" s="846"/>
      <c r="C8" s="819"/>
      <c r="D8" s="846"/>
      <c r="E8" s="846"/>
      <c r="F8" s="846"/>
      <c r="G8" s="846"/>
      <c r="H8" s="846"/>
      <c r="I8" s="856"/>
      <c r="J8" s="853"/>
      <c r="K8" s="854"/>
    </row>
    <row r="9" spans="2:11" ht="67.5" customHeight="1">
      <c r="B9" s="847"/>
      <c r="C9" s="820"/>
      <c r="D9" s="847"/>
      <c r="E9" s="847"/>
      <c r="F9" s="847"/>
      <c r="G9" s="847"/>
      <c r="H9" s="847"/>
      <c r="I9" s="857"/>
      <c r="J9" s="437" t="s">
        <v>550</v>
      </c>
      <c r="K9" s="437" t="s">
        <v>551</v>
      </c>
    </row>
    <row r="10" spans="2:11" ht="29.25" customHeight="1">
      <c r="B10" s="502">
        <v>1</v>
      </c>
      <c r="C10" s="502">
        <v>2</v>
      </c>
      <c r="D10" s="502">
        <v>3</v>
      </c>
      <c r="E10" s="436">
        <v>4</v>
      </c>
      <c r="F10" s="436">
        <v>5</v>
      </c>
      <c r="G10" s="502">
        <v>6</v>
      </c>
      <c r="H10" s="502">
        <v>7</v>
      </c>
      <c r="I10" s="200">
        <v>8</v>
      </c>
      <c r="J10" s="502">
        <v>9</v>
      </c>
      <c r="K10" s="502">
        <v>10</v>
      </c>
    </row>
    <row r="11" spans="2:13" ht="36" customHeight="1">
      <c r="B11" s="518" t="s">
        <v>21</v>
      </c>
      <c r="C11" s="518"/>
      <c r="D11" s="518"/>
      <c r="E11" s="424" t="s">
        <v>104</v>
      </c>
      <c r="F11" s="306"/>
      <c r="G11" s="306"/>
      <c r="H11" s="511">
        <f>H12</f>
        <v>593810</v>
      </c>
      <c r="I11" s="511">
        <f>I12</f>
        <v>572960</v>
      </c>
      <c r="J11" s="511">
        <f>J12</f>
        <v>20850</v>
      </c>
      <c r="K11" s="511">
        <f>K12</f>
        <v>0</v>
      </c>
      <c r="L11" s="246"/>
      <c r="M11" s="553"/>
    </row>
    <row r="12" spans="2:15" ht="36.75" customHeight="1">
      <c r="B12" s="519" t="s">
        <v>20</v>
      </c>
      <c r="C12" s="519"/>
      <c r="D12" s="519"/>
      <c r="E12" s="424" t="s">
        <v>104</v>
      </c>
      <c r="F12" s="306"/>
      <c r="G12" s="306"/>
      <c r="H12" s="511">
        <f>I12+J12</f>
        <v>593810</v>
      </c>
      <c r="I12" s="511">
        <f>SUM(I14:I16)</f>
        <v>572960</v>
      </c>
      <c r="J12" s="511">
        <f>SUM(J14:J16)</f>
        <v>20850</v>
      </c>
      <c r="K12" s="511">
        <f>SUM(K14:K16)</f>
        <v>0</v>
      </c>
      <c r="L12" s="246" t="s">
        <v>400</v>
      </c>
      <c r="M12" s="554" t="s">
        <v>243</v>
      </c>
      <c r="N12" s="403" t="s">
        <v>233</v>
      </c>
      <c r="O12" s="554" t="s">
        <v>243</v>
      </c>
    </row>
    <row r="13" spans="2:15" ht="86.25" customHeight="1" hidden="1">
      <c r="B13" s="386" t="s">
        <v>185</v>
      </c>
      <c r="C13" s="386" t="s">
        <v>186</v>
      </c>
      <c r="D13" s="386" t="s">
        <v>690</v>
      </c>
      <c r="E13" s="425" t="s">
        <v>184</v>
      </c>
      <c r="F13" s="307" t="s">
        <v>705</v>
      </c>
      <c r="G13" s="307"/>
      <c r="H13" s="512"/>
      <c r="I13" s="393"/>
      <c r="J13" s="393">
        <v>0</v>
      </c>
      <c r="K13" s="393"/>
      <c r="L13" s="246"/>
      <c r="M13" s="554"/>
      <c r="N13" s="403"/>
      <c r="O13" s="554"/>
    </row>
    <row r="14" spans="1:18" s="540" customFormat="1" ht="72.75" customHeight="1">
      <c r="A14" s="140">
        <v>8600</v>
      </c>
      <c r="B14" s="808" t="s">
        <v>187</v>
      </c>
      <c r="C14" s="808" t="s">
        <v>420</v>
      </c>
      <c r="D14" s="808" t="s">
        <v>691</v>
      </c>
      <c r="E14" s="848" t="s">
        <v>332</v>
      </c>
      <c r="F14" s="227" t="s">
        <v>552</v>
      </c>
      <c r="G14" s="227" t="s">
        <v>553</v>
      </c>
      <c r="H14" s="509">
        <f>I14+J14</f>
        <v>105000</v>
      </c>
      <c r="I14" s="509">
        <v>105000</v>
      </c>
      <c r="J14" s="509"/>
      <c r="K14" s="509"/>
      <c r="L14" s="843">
        <f>'Дод.3'!H15</f>
        <v>522960</v>
      </c>
      <c r="M14" s="817">
        <f>L14-I14-I15</f>
        <v>0</v>
      </c>
      <c r="N14" s="844">
        <f>'Дод.3'!M15</f>
        <v>20850</v>
      </c>
      <c r="O14" s="842">
        <f>N14-J14-J15</f>
        <v>0</v>
      </c>
      <c r="P14" s="402"/>
      <c r="Q14" s="406" t="e">
        <f>#REF!-'[1]дод.5'!$I$12</f>
        <v>#REF!</v>
      </c>
      <c r="R14" s="402"/>
    </row>
    <row r="15" spans="1:18" s="540" customFormat="1" ht="69" customHeight="1">
      <c r="A15" s="140"/>
      <c r="B15" s="809"/>
      <c r="C15" s="827"/>
      <c r="D15" s="809"/>
      <c r="E15" s="849"/>
      <c r="F15" s="227" t="s">
        <v>555</v>
      </c>
      <c r="G15" s="227" t="s">
        <v>589</v>
      </c>
      <c r="H15" s="509">
        <f>I15+J15</f>
        <v>438810</v>
      </c>
      <c r="I15" s="509">
        <f>413726+4234</f>
        <v>417960</v>
      </c>
      <c r="J15" s="509">
        <v>20850</v>
      </c>
      <c r="K15" s="509"/>
      <c r="L15" s="843"/>
      <c r="M15" s="817"/>
      <c r="N15" s="844"/>
      <c r="O15" s="842"/>
      <c r="P15" s="402"/>
      <c r="Q15" s="406" t="e">
        <f>#REF!-'[1]дод.5'!$I$13</f>
        <v>#REF!</v>
      </c>
      <c r="R15" s="402"/>
    </row>
    <row r="16" spans="2:18" s="540" customFormat="1" ht="75" customHeight="1">
      <c r="B16" s="532" t="s">
        <v>191</v>
      </c>
      <c r="C16" s="532" t="s">
        <v>192</v>
      </c>
      <c r="D16" s="532" t="s">
        <v>781</v>
      </c>
      <c r="E16" s="533" t="s">
        <v>193</v>
      </c>
      <c r="F16" s="227" t="s">
        <v>552</v>
      </c>
      <c r="G16" s="227" t="s">
        <v>553</v>
      </c>
      <c r="H16" s="509">
        <f>I16+J16</f>
        <v>50000</v>
      </c>
      <c r="I16" s="509">
        <v>50000</v>
      </c>
      <c r="J16" s="509"/>
      <c r="K16" s="509"/>
      <c r="L16" s="404">
        <f>'Дод.3'!H16</f>
        <v>50000</v>
      </c>
      <c r="M16" s="555">
        <f>L16-I16</f>
        <v>0</v>
      </c>
      <c r="N16" s="405">
        <f>'Дод.3'!M16</f>
        <v>0</v>
      </c>
      <c r="O16" s="567">
        <f>N16-K16</f>
        <v>0</v>
      </c>
      <c r="P16" s="402"/>
      <c r="Q16" s="406" t="e">
        <f>#REF!-'[1]дод.5'!$I$16</f>
        <v>#REF!</v>
      </c>
      <c r="R16" s="402"/>
    </row>
    <row r="17" spans="2:15" ht="48" customHeight="1">
      <c r="B17" s="519" t="s">
        <v>317</v>
      </c>
      <c r="C17" s="519"/>
      <c r="D17" s="519"/>
      <c r="E17" s="424" t="s">
        <v>105</v>
      </c>
      <c r="F17" s="318"/>
      <c r="G17" s="318"/>
      <c r="H17" s="511">
        <f>H18</f>
        <v>8649364</v>
      </c>
      <c r="I17" s="511">
        <f>I18</f>
        <v>5485864</v>
      </c>
      <c r="J17" s="511">
        <f>J18</f>
        <v>3163500</v>
      </c>
      <c r="K17" s="511">
        <f>K18</f>
        <v>2850000</v>
      </c>
      <c r="L17" s="83"/>
      <c r="M17" s="556"/>
      <c r="N17" s="407"/>
      <c r="O17" s="568"/>
    </row>
    <row r="18" spans="2:15" ht="47.25" customHeight="1">
      <c r="B18" s="519" t="s">
        <v>318</v>
      </c>
      <c r="C18" s="519"/>
      <c r="D18" s="519"/>
      <c r="E18" s="424" t="s">
        <v>105</v>
      </c>
      <c r="F18" s="638"/>
      <c r="G18" s="638"/>
      <c r="H18" s="639">
        <f>SUM(H19:H31)</f>
        <v>8649364</v>
      </c>
      <c r="I18" s="639">
        <f>SUM(I19:I31)</f>
        <v>5485864</v>
      </c>
      <c r="J18" s="639">
        <f>SUM(J19:J31)</f>
        <v>3163500</v>
      </c>
      <c r="K18" s="639">
        <f>SUM(K19:K31)</f>
        <v>2850000</v>
      </c>
      <c r="L18" s="83"/>
      <c r="M18" s="556"/>
      <c r="N18" s="407"/>
      <c r="O18" s="568"/>
    </row>
    <row r="19" spans="1:18" s="540" customFormat="1" ht="74.25" customHeight="1">
      <c r="A19" s="140">
        <v>8600</v>
      </c>
      <c r="B19" s="532" t="s">
        <v>331</v>
      </c>
      <c r="C19" s="532" t="s">
        <v>420</v>
      </c>
      <c r="D19" s="532" t="s">
        <v>691</v>
      </c>
      <c r="E19" s="637" t="s">
        <v>332</v>
      </c>
      <c r="F19" s="431" t="s">
        <v>552</v>
      </c>
      <c r="G19" s="431" t="s">
        <v>553</v>
      </c>
      <c r="H19" s="509">
        <f aca="true" t="shared" si="0" ref="H19:H30">I19+J19</f>
        <v>105000</v>
      </c>
      <c r="I19" s="900">
        <f>80000+25000</f>
        <v>105000</v>
      </c>
      <c r="J19" s="509"/>
      <c r="K19" s="509"/>
      <c r="L19" s="255">
        <f>'Дод.3'!H19</f>
        <v>105000</v>
      </c>
      <c r="M19" s="557">
        <f>L19-I19</f>
        <v>0</v>
      </c>
      <c r="N19" s="408">
        <f>'Дод.3'!M19</f>
        <v>0</v>
      </c>
      <c r="O19" s="569">
        <f>N19-J19</f>
        <v>0</v>
      </c>
      <c r="P19" s="402"/>
      <c r="Q19" s="406" t="e">
        <f>#REF!-'[1]дод.5'!$I$20</f>
        <v>#REF!</v>
      </c>
      <c r="R19" s="402"/>
    </row>
    <row r="20" spans="1:24" s="500" customFormat="1" ht="66" customHeight="1">
      <c r="A20" s="52"/>
      <c r="B20" s="532" t="s">
        <v>319</v>
      </c>
      <c r="C20" s="532">
        <v>2010</v>
      </c>
      <c r="D20" s="532" t="s">
        <v>24</v>
      </c>
      <c r="E20" s="642" t="s">
        <v>23</v>
      </c>
      <c r="F20" s="423" t="s">
        <v>627</v>
      </c>
      <c r="G20" s="641" t="s">
        <v>810</v>
      </c>
      <c r="H20" s="509">
        <f t="shared" si="0"/>
        <v>3867809</v>
      </c>
      <c r="I20" s="509">
        <v>937809</v>
      </c>
      <c r="J20" s="900">
        <f>1000000+1850000+80000</f>
        <v>2930000</v>
      </c>
      <c r="K20" s="509">
        <f>1000000+1850000</f>
        <v>2850000</v>
      </c>
      <c r="L20" s="635">
        <f>'Дод.3'!H20</f>
        <v>46122486.49</v>
      </c>
      <c r="M20" s="557"/>
      <c r="N20" s="635">
        <f>'Дод.3'!M20</f>
        <v>2930000</v>
      </c>
      <c r="O20" s="570"/>
      <c r="P20" s="417"/>
      <c r="Q20" s="543" t="e">
        <f>#REF!-'[1]дод.5'!$I$22</f>
        <v>#REF!</v>
      </c>
      <c r="R20" s="417"/>
      <c r="S20" s="577">
        <f>25444100+69221+15991653</f>
        <v>41504974</v>
      </c>
      <c r="T20" s="577"/>
      <c r="U20" s="577">
        <f>41435753+2635310+69221</f>
        <v>44140284</v>
      </c>
      <c r="V20" s="577">
        <f>45078093-U20</f>
        <v>937809</v>
      </c>
      <c r="W20" s="577">
        <f>698626.77+493766.72-148000</f>
        <v>1044393.49</v>
      </c>
      <c r="X20" s="577"/>
    </row>
    <row r="21" spans="1:22" s="500" customFormat="1" ht="56.25" customHeight="1" hidden="1">
      <c r="A21" s="52"/>
      <c r="B21" s="520" t="s">
        <v>320</v>
      </c>
      <c r="C21" s="520" t="s">
        <v>188</v>
      </c>
      <c r="D21" s="520" t="s">
        <v>28</v>
      </c>
      <c r="E21" s="496" t="s">
        <v>189</v>
      </c>
      <c r="F21" s="539" t="s">
        <v>558</v>
      </c>
      <c r="G21" s="539" t="s">
        <v>592</v>
      </c>
      <c r="H21" s="640">
        <f t="shared" si="0"/>
        <v>0</v>
      </c>
      <c r="I21" s="640"/>
      <c r="J21" s="640"/>
      <c r="K21" s="640"/>
      <c r="L21" s="544"/>
      <c r="M21" s="557"/>
      <c r="N21" s="541"/>
      <c r="O21" s="570"/>
      <c r="P21" s="417"/>
      <c r="Q21" s="543" t="e">
        <f>#REF!-'[1]дод.5'!$I$23</f>
        <v>#REF!</v>
      </c>
      <c r="R21" s="417"/>
      <c r="U21" s="577">
        <f>41435753+2635310+69221</f>
        <v>44140284</v>
      </c>
      <c r="V21" s="577">
        <f>45078093-U21</f>
        <v>937809</v>
      </c>
    </row>
    <row r="22" spans="2:22" s="500" customFormat="1" ht="60" customHeight="1">
      <c r="B22" s="532" t="s">
        <v>405</v>
      </c>
      <c r="C22" s="532" t="s">
        <v>190</v>
      </c>
      <c r="D22" s="532" t="s">
        <v>29</v>
      </c>
      <c r="E22" s="681" t="s">
        <v>316</v>
      </c>
      <c r="F22" s="497" t="s">
        <v>818</v>
      </c>
      <c r="G22" s="497" t="s">
        <v>809</v>
      </c>
      <c r="H22" s="509">
        <f>I22+J22</f>
        <v>659175</v>
      </c>
      <c r="I22" s="900">
        <v>659175</v>
      </c>
      <c r="J22" s="509"/>
      <c r="K22" s="509"/>
      <c r="L22" s="648">
        <f>'Дод.3'!H22</f>
        <v>2026540.9</v>
      </c>
      <c r="M22" s="650"/>
      <c r="N22" s="649">
        <f>'Дод.3'!M22</f>
        <v>0</v>
      </c>
      <c r="O22" s="647"/>
      <c r="P22" s="417"/>
      <c r="Q22" s="417"/>
      <c r="R22" s="417"/>
      <c r="T22" s="682">
        <f>L22-1133707-233658.9</f>
        <v>659174.9999999999</v>
      </c>
      <c r="U22" s="577">
        <f>1693405-996880-37350</f>
        <v>659175</v>
      </c>
      <c r="V22" s="577"/>
    </row>
    <row r="23" spans="2:15" ht="75" customHeight="1" hidden="1">
      <c r="B23" s="520" t="s">
        <v>324</v>
      </c>
      <c r="C23" s="520" t="s">
        <v>326</v>
      </c>
      <c r="D23" s="520">
        <v>1040</v>
      </c>
      <c r="E23" s="493" t="s">
        <v>325</v>
      </c>
      <c r="F23" s="227" t="s">
        <v>559</v>
      </c>
      <c r="G23" s="227" t="s">
        <v>595</v>
      </c>
      <c r="H23" s="509">
        <f>I23+J23</f>
        <v>0</v>
      </c>
      <c r="I23" s="509"/>
      <c r="J23" s="509"/>
      <c r="K23" s="509"/>
      <c r="L23" s="409">
        <f>'Дод.3'!H27</f>
        <v>903617</v>
      </c>
      <c r="M23" s="555"/>
      <c r="N23" s="410">
        <f>'Дод.3'!M27</f>
        <v>0</v>
      </c>
      <c r="O23" s="571"/>
    </row>
    <row r="24" spans="2:15" ht="65.25" customHeight="1">
      <c r="B24" s="521" t="s">
        <v>628</v>
      </c>
      <c r="C24" s="521" t="s">
        <v>629</v>
      </c>
      <c r="D24" s="521" t="s">
        <v>108</v>
      </c>
      <c r="E24" s="679" t="s">
        <v>630</v>
      </c>
      <c r="F24" s="497" t="s">
        <v>593</v>
      </c>
      <c r="G24" s="497" t="s">
        <v>594</v>
      </c>
      <c r="H24" s="509">
        <f>I24+J24</f>
        <v>117350</v>
      </c>
      <c r="I24" s="509">
        <f>37350+80000</f>
        <v>117350</v>
      </c>
      <c r="J24" s="509"/>
      <c r="K24" s="509"/>
      <c r="L24" s="409">
        <f>'Дод.3'!H23</f>
        <v>117350</v>
      </c>
      <c r="M24" s="555">
        <f>L24-I24</f>
        <v>0</v>
      </c>
      <c r="N24" s="410"/>
      <c r="O24" s="571"/>
    </row>
    <row r="25" spans="2:15" ht="121.5" customHeight="1">
      <c r="B25" s="521" t="s">
        <v>631</v>
      </c>
      <c r="C25" s="520" t="s">
        <v>632</v>
      </c>
      <c r="D25" s="520" t="s">
        <v>108</v>
      </c>
      <c r="E25" s="901" t="s">
        <v>633</v>
      </c>
      <c r="F25" s="227" t="s">
        <v>557</v>
      </c>
      <c r="G25" s="227" t="s">
        <v>591</v>
      </c>
      <c r="H25" s="509">
        <f>I25+J25</f>
        <v>1194880</v>
      </c>
      <c r="I25" s="509">
        <f>996880+198000</f>
        <v>1194880</v>
      </c>
      <c r="J25" s="509"/>
      <c r="K25" s="509"/>
      <c r="L25" s="409">
        <f>'Дод.3'!H26</f>
        <v>1194880</v>
      </c>
      <c r="M25" s="555">
        <f>L25-I25</f>
        <v>0</v>
      </c>
      <c r="N25" s="410"/>
      <c r="O25" s="571"/>
    </row>
    <row r="26" spans="1:18" s="540" customFormat="1" ht="72.75" customHeight="1">
      <c r="A26" s="542"/>
      <c r="B26" s="808" t="s">
        <v>194</v>
      </c>
      <c r="C26" s="808" t="s">
        <v>192</v>
      </c>
      <c r="D26" s="808" t="s">
        <v>781</v>
      </c>
      <c r="E26" s="811" t="s">
        <v>193</v>
      </c>
      <c r="F26" s="227" t="s">
        <v>552</v>
      </c>
      <c r="G26" s="227" t="s">
        <v>553</v>
      </c>
      <c r="H26" s="509">
        <f t="shared" si="0"/>
        <v>74670</v>
      </c>
      <c r="I26" s="509">
        <v>74670</v>
      </c>
      <c r="J26" s="509"/>
      <c r="K26" s="509"/>
      <c r="L26" s="815">
        <f>'Дод.3'!H28</f>
        <v>135670</v>
      </c>
      <c r="M26" s="817">
        <f>L26-I26-I27</f>
        <v>0</v>
      </c>
      <c r="N26" s="816">
        <f>'Дод.3'!M28</f>
        <v>0</v>
      </c>
      <c r="O26" s="567">
        <f aca="true" t="shared" si="1" ref="O26:O31">N26-J26</f>
        <v>0</v>
      </c>
      <c r="P26" s="402"/>
      <c r="Q26" s="406" t="e">
        <f>#REF!-'[1]дод.5'!$I$30</f>
        <v>#REF!</v>
      </c>
      <c r="R26" s="402"/>
    </row>
    <row r="27" spans="2:18" s="540" customFormat="1" ht="60" customHeight="1">
      <c r="B27" s="810"/>
      <c r="C27" s="902"/>
      <c r="D27" s="810"/>
      <c r="E27" s="813"/>
      <c r="F27" s="895" t="s">
        <v>659</v>
      </c>
      <c r="G27" s="895" t="s">
        <v>661</v>
      </c>
      <c r="H27" s="900">
        <f t="shared" si="0"/>
        <v>61000</v>
      </c>
      <c r="I27" s="900">
        <v>61000</v>
      </c>
      <c r="J27" s="900"/>
      <c r="K27" s="900"/>
      <c r="L27" s="815"/>
      <c r="M27" s="817"/>
      <c r="N27" s="816"/>
      <c r="O27" s="567">
        <f t="shared" si="1"/>
        <v>0</v>
      </c>
      <c r="P27" s="402"/>
      <c r="Q27" s="406" t="e">
        <f>#REF!-'[1]дод.5'!$G$31</f>
        <v>#REF!</v>
      </c>
      <c r="R27" s="402"/>
    </row>
    <row r="28" spans="1:18" s="540" customFormat="1" ht="72.75" customHeight="1">
      <c r="A28" s="151" t="s">
        <v>68</v>
      </c>
      <c r="B28" s="532" t="s">
        <v>328</v>
      </c>
      <c r="C28" s="532" t="s">
        <v>68</v>
      </c>
      <c r="D28" s="532" t="s">
        <v>75</v>
      </c>
      <c r="E28" s="533" t="s">
        <v>327</v>
      </c>
      <c r="F28" s="227" t="s">
        <v>556</v>
      </c>
      <c r="G28" s="227" t="s">
        <v>590</v>
      </c>
      <c r="H28" s="509">
        <f t="shared" si="0"/>
        <v>1232128</v>
      </c>
      <c r="I28" s="509">
        <v>1232128</v>
      </c>
      <c r="J28" s="509"/>
      <c r="K28" s="509"/>
      <c r="L28" s="409">
        <f>'Дод.3'!H29</f>
        <v>1232128</v>
      </c>
      <c r="M28" s="555">
        <f>L28-I28</f>
        <v>0</v>
      </c>
      <c r="N28" s="405">
        <f>'Дод.3'!M29</f>
        <v>0</v>
      </c>
      <c r="O28" s="567">
        <f t="shared" si="1"/>
        <v>0</v>
      </c>
      <c r="P28" s="402"/>
      <c r="Q28" s="402"/>
      <c r="R28" s="402"/>
    </row>
    <row r="29" spans="1:18" s="540" customFormat="1" ht="78.75" customHeight="1">
      <c r="A29" s="151" t="s">
        <v>69</v>
      </c>
      <c r="B29" s="520" t="s">
        <v>329</v>
      </c>
      <c r="C29" s="520" t="s">
        <v>69</v>
      </c>
      <c r="D29" s="520" t="s">
        <v>75</v>
      </c>
      <c r="E29" s="494" t="s">
        <v>77</v>
      </c>
      <c r="F29" s="227" t="s">
        <v>556</v>
      </c>
      <c r="G29" s="227" t="s">
        <v>596</v>
      </c>
      <c r="H29" s="509">
        <f t="shared" si="0"/>
        <v>808304</v>
      </c>
      <c r="I29" s="509">
        <f>762061+46243</f>
        <v>808304</v>
      </c>
      <c r="J29" s="509"/>
      <c r="K29" s="509"/>
      <c r="L29" s="409">
        <f>'Дод.3'!H30</f>
        <v>808304</v>
      </c>
      <c r="M29" s="555">
        <f>L29-I29</f>
        <v>0</v>
      </c>
      <c r="N29" s="405">
        <f>'Дод.3'!M30</f>
        <v>0</v>
      </c>
      <c r="O29" s="567">
        <f t="shared" si="1"/>
        <v>0</v>
      </c>
      <c r="P29" s="402"/>
      <c r="Q29" s="402"/>
      <c r="R29" s="402"/>
    </row>
    <row r="30" spans="1:18" s="540" customFormat="1" ht="93.75" customHeight="1">
      <c r="A30" s="151" t="s">
        <v>182</v>
      </c>
      <c r="B30" s="520" t="s">
        <v>330</v>
      </c>
      <c r="C30" s="520" t="s">
        <v>182</v>
      </c>
      <c r="D30" s="520" t="s">
        <v>75</v>
      </c>
      <c r="E30" s="494" t="s">
        <v>181</v>
      </c>
      <c r="F30" s="227" t="s">
        <v>556</v>
      </c>
      <c r="G30" s="227" t="s">
        <v>596</v>
      </c>
      <c r="H30" s="509">
        <f t="shared" si="0"/>
        <v>295548</v>
      </c>
      <c r="I30" s="509">
        <f>310291-14743</f>
        <v>295548</v>
      </c>
      <c r="J30" s="509"/>
      <c r="K30" s="509"/>
      <c r="L30" s="409">
        <f>'Дод.3'!H31</f>
        <v>295548</v>
      </c>
      <c r="M30" s="555">
        <f>L30-I30</f>
        <v>0</v>
      </c>
      <c r="N30" s="405">
        <f>'Дод.3'!M31</f>
        <v>0</v>
      </c>
      <c r="O30" s="567">
        <f t="shared" si="1"/>
        <v>0</v>
      </c>
      <c r="P30" s="402"/>
      <c r="Q30" s="402"/>
      <c r="R30" s="402"/>
    </row>
    <row r="31" spans="1:18" s="540" customFormat="1" ht="108" customHeight="1">
      <c r="A31" s="308"/>
      <c r="B31" s="521" t="s">
        <v>855</v>
      </c>
      <c r="C31" s="520" t="s">
        <v>856</v>
      </c>
      <c r="D31" s="520" t="s">
        <v>70</v>
      </c>
      <c r="E31" s="227" t="s">
        <v>354</v>
      </c>
      <c r="F31" s="227" t="s">
        <v>560</v>
      </c>
      <c r="G31" s="227" t="s">
        <v>597</v>
      </c>
      <c r="H31" s="509">
        <f>I31+J31</f>
        <v>233500</v>
      </c>
      <c r="I31" s="509"/>
      <c r="J31" s="509">
        <v>233500</v>
      </c>
      <c r="K31" s="509"/>
      <c r="L31" s="409">
        <f>'Дод.3'!H32</f>
        <v>0</v>
      </c>
      <c r="M31" s="555">
        <f>L31-I31</f>
        <v>0</v>
      </c>
      <c r="N31" s="405">
        <f>'Дод.3'!M32</f>
        <v>233500</v>
      </c>
      <c r="O31" s="567">
        <f t="shared" si="1"/>
        <v>0</v>
      </c>
      <c r="P31" s="402"/>
      <c r="Q31" s="402"/>
      <c r="R31" s="402"/>
    </row>
    <row r="32" spans="2:15" ht="80.25" customHeight="1">
      <c r="B32" s="519" t="s">
        <v>339</v>
      </c>
      <c r="C32" s="522"/>
      <c r="D32" s="522"/>
      <c r="E32" s="293" t="s">
        <v>742</v>
      </c>
      <c r="F32" s="318"/>
      <c r="G32" s="318"/>
      <c r="H32" s="511">
        <f>H33</f>
        <v>5033980</v>
      </c>
      <c r="I32" s="511">
        <f>I33</f>
        <v>5033980</v>
      </c>
      <c r="J32" s="511">
        <f>J33</f>
        <v>0</v>
      </c>
      <c r="K32" s="511">
        <f>K33</f>
        <v>0</v>
      </c>
      <c r="L32" s="413"/>
      <c r="M32" s="558"/>
      <c r="N32" s="412"/>
      <c r="O32" s="572"/>
    </row>
    <row r="33" spans="2:15" ht="79.5" customHeight="1">
      <c r="B33" s="519" t="s">
        <v>340</v>
      </c>
      <c r="C33" s="519"/>
      <c r="D33" s="519"/>
      <c r="E33" s="293" t="s">
        <v>742</v>
      </c>
      <c r="F33" s="318"/>
      <c r="G33" s="318"/>
      <c r="H33" s="511">
        <f>SUM(H34:H42)</f>
        <v>5033980</v>
      </c>
      <c r="I33" s="511">
        <f>SUM(I34:I42)</f>
        <v>5033980</v>
      </c>
      <c r="J33" s="511">
        <f>SUM(J34:J42)</f>
        <v>0</v>
      </c>
      <c r="K33" s="511">
        <f>SUM(K34:K42)</f>
        <v>0</v>
      </c>
      <c r="L33" s="413"/>
      <c r="M33" s="558"/>
      <c r="N33" s="412"/>
      <c r="O33" s="572"/>
    </row>
    <row r="34" spans="1:15" ht="75.75" customHeight="1">
      <c r="A34" s="52">
        <v>1020</v>
      </c>
      <c r="B34" s="808" t="s">
        <v>338</v>
      </c>
      <c r="C34" s="808">
        <v>1020</v>
      </c>
      <c r="D34" s="808" t="s">
        <v>431</v>
      </c>
      <c r="E34" s="811" t="s">
        <v>337</v>
      </c>
      <c r="F34" s="895" t="s">
        <v>817</v>
      </c>
      <c r="G34" s="227" t="s">
        <v>806</v>
      </c>
      <c r="H34" s="509">
        <f aca="true" t="shared" si="2" ref="H34:H41">I34+J34</f>
        <v>3700000</v>
      </c>
      <c r="I34" s="900">
        <f>2200000+1500000</f>
        <v>3700000</v>
      </c>
      <c r="J34" s="509"/>
      <c r="K34" s="509"/>
      <c r="L34" s="818">
        <f>'Дод.3'!H35</f>
        <v>115313826.53</v>
      </c>
      <c r="M34" s="555"/>
      <c r="N34" s="405"/>
      <c r="O34" s="567"/>
    </row>
    <row r="35" spans="1:15" ht="67.5" customHeight="1" hidden="1">
      <c r="A35" s="52"/>
      <c r="B35" s="809"/>
      <c r="C35" s="819"/>
      <c r="D35" s="809"/>
      <c r="E35" s="812"/>
      <c r="F35" s="895" t="s">
        <v>561</v>
      </c>
      <c r="G35" s="227" t="s">
        <v>598</v>
      </c>
      <c r="H35" s="509">
        <f t="shared" si="2"/>
        <v>0</v>
      </c>
      <c r="I35" s="900"/>
      <c r="J35" s="509"/>
      <c r="K35" s="509"/>
      <c r="L35" s="818"/>
      <c r="M35" s="555"/>
      <c r="N35" s="405"/>
      <c r="O35" s="567"/>
    </row>
    <row r="36" spans="1:15" ht="72.75" customHeight="1" hidden="1">
      <c r="A36" s="52"/>
      <c r="B36" s="809"/>
      <c r="C36" s="819"/>
      <c r="D36" s="809"/>
      <c r="E36" s="812"/>
      <c r="F36" s="895" t="s">
        <v>554</v>
      </c>
      <c r="G36" s="227" t="s">
        <v>588</v>
      </c>
      <c r="H36" s="509">
        <f t="shared" si="2"/>
        <v>0</v>
      </c>
      <c r="I36" s="900"/>
      <c r="J36" s="509"/>
      <c r="K36" s="509"/>
      <c r="L36" s="818"/>
      <c r="M36" s="555"/>
      <c r="N36" s="405">
        <f>'Дод.3'!M35</f>
        <v>987252</v>
      </c>
      <c r="O36" s="567"/>
    </row>
    <row r="37" spans="1:15" ht="56.25" customHeight="1">
      <c r="A37" s="52"/>
      <c r="B37" s="809"/>
      <c r="C37" s="819"/>
      <c r="D37" s="809"/>
      <c r="E37" s="812"/>
      <c r="F37" s="895" t="s">
        <v>562</v>
      </c>
      <c r="G37" s="227" t="s">
        <v>599</v>
      </c>
      <c r="H37" s="509">
        <f t="shared" si="2"/>
        <v>500000</v>
      </c>
      <c r="I37" s="900">
        <v>500000</v>
      </c>
      <c r="J37" s="509"/>
      <c r="K37" s="509"/>
      <c r="L37" s="818"/>
      <c r="M37" s="555"/>
      <c r="N37" s="405"/>
      <c r="O37" s="567"/>
    </row>
    <row r="38" spans="1:15" ht="66" customHeight="1" hidden="1">
      <c r="A38" s="52"/>
      <c r="B38" s="810"/>
      <c r="C38" s="820"/>
      <c r="D38" s="810"/>
      <c r="E38" s="813"/>
      <c r="F38" s="227" t="s">
        <v>558</v>
      </c>
      <c r="G38" s="227" t="s">
        <v>592</v>
      </c>
      <c r="H38" s="509">
        <f t="shared" si="2"/>
        <v>0</v>
      </c>
      <c r="I38" s="509"/>
      <c r="J38" s="509"/>
      <c r="K38" s="509"/>
      <c r="L38" s="818"/>
      <c r="M38" s="555"/>
      <c r="N38" s="405"/>
      <c r="O38" s="567"/>
    </row>
    <row r="39" spans="1:15" ht="54.75" customHeight="1" hidden="1">
      <c r="A39" s="52"/>
      <c r="B39" s="520" t="s">
        <v>406</v>
      </c>
      <c r="C39" s="520" t="s">
        <v>781</v>
      </c>
      <c r="D39" s="520" t="s">
        <v>211</v>
      </c>
      <c r="E39" s="496" t="s">
        <v>210</v>
      </c>
      <c r="F39" s="227" t="s">
        <v>561</v>
      </c>
      <c r="G39" s="227" t="s">
        <v>598</v>
      </c>
      <c r="H39" s="509">
        <f t="shared" si="2"/>
        <v>0</v>
      </c>
      <c r="I39" s="509"/>
      <c r="J39" s="509"/>
      <c r="K39" s="509"/>
      <c r="L39" s="404">
        <f>'Дод.3'!H36</f>
        <v>1902573</v>
      </c>
      <c r="M39" s="555"/>
      <c r="N39" s="405">
        <f>'Дод.3'!M36</f>
        <v>0</v>
      </c>
      <c r="O39" s="567"/>
    </row>
    <row r="40" spans="1:15" ht="61.5" customHeight="1" hidden="1">
      <c r="A40" s="52"/>
      <c r="B40" s="520" t="s">
        <v>195</v>
      </c>
      <c r="C40" s="520" t="s">
        <v>196</v>
      </c>
      <c r="D40" s="520" t="s">
        <v>213</v>
      </c>
      <c r="E40" s="496" t="s">
        <v>199</v>
      </c>
      <c r="F40" s="227" t="s">
        <v>743</v>
      </c>
      <c r="G40" s="227" t="s">
        <v>744</v>
      </c>
      <c r="H40" s="509">
        <f t="shared" si="2"/>
        <v>0</v>
      </c>
      <c r="I40" s="509"/>
      <c r="J40" s="509"/>
      <c r="K40" s="509"/>
      <c r="L40" s="404">
        <f>'Дод.3'!H38</f>
        <v>5045740</v>
      </c>
      <c r="M40" s="555"/>
      <c r="N40" s="405">
        <f>'Дод.3'!M38</f>
        <v>0</v>
      </c>
      <c r="O40" s="567"/>
    </row>
    <row r="41" spans="1:18" s="540" customFormat="1" ht="71.25" customHeight="1">
      <c r="A41" s="52"/>
      <c r="B41" s="520" t="s">
        <v>197</v>
      </c>
      <c r="C41" s="520" t="s">
        <v>198</v>
      </c>
      <c r="D41" s="520" t="s">
        <v>213</v>
      </c>
      <c r="E41" s="496" t="s">
        <v>200</v>
      </c>
      <c r="F41" s="227" t="s">
        <v>816</v>
      </c>
      <c r="G41" s="227" t="s">
        <v>804</v>
      </c>
      <c r="H41" s="509">
        <f t="shared" si="2"/>
        <v>516200</v>
      </c>
      <c r="I41" s="509">
        <v>516200</v>
      </c>
      <c r="J41" s="509"/>
      <c r="K41" s="509"/>
      <c r="L41" s="404">
        <f>'Дод.3'!H39</f>
        <v>516200</v>
      </c>
      <c r="M41" s="555">
        <f>L41-I41</f>
        <v>0</v>
      </c>
      <c r="N41" s="405">
        <f>'Дод.3'!M39</f>
        <v>0</v>
      </c>
      <c r="O41" s="567">
        <f>N41-J41</f>
        <v>0</v>
      </c>
      <c r="P41" s="402"/>
      <c r="Q41" s="402"/>
      <c r="R41" s="402"/>
    </row>
    <row r="42" spans="1:18" s="540" customFormat="1" ht="67.5" customHeight="1">
      <c r="A42" s="285"/>
      <c r="B42" s="520" t="s">
        <v>203</v>
      </c>
      <c r="C42" s="524">
        <v>5011</v>
      </c>
      <c r="D42" s="520" t="s">
        <v>75</v>
      </c>
      <c r="E42" s="494" t="s">
        <v>74</v>
      </c>
      <c r="F42" s="227" t="s">
        <v>556</v>
      </c>
      <c r="G42" s="227" t="s">
        <v>596</v>
      </c>
      <c r="H42" s="509">
        <f>I42+J42</f>
        <v>317780</v>
      </c>
      <c r="I42" s="509">
        <v>317780</v>
      </c>
      <c r="J42" s="509"/>
      <c r="K42" s="509"/>
      <c r="L42" s="404">
        <f>'Дод.3'!H40</f>
        <v>317780</v>
      </c>
      <c r="M42" s="555">
        <f>L42-I42</f>
        <v>0</v>
      </c>
      <c r="N42" s="405">
        <f>'Дод.3'!M40</f>
        <v>0</v>
      </c>
      <c r="O42" s="567">
        <f>N42-J42</f>
        <v>0</v>
      </c>
      <c r="P42" s="402"/>
      <c r="Q42" s="402"/>
      <c r="R42" s="402"/>
    </row>
    <row r="43" spans="2:18" s="540" customFormat="1" ht="77.25" customHeight="1">
      <c r="B43" s="519" t="s">
        <v>346</v>
      </c>
      <c r="C43" s="522"/>
      <c r="D43" s="522"/>
      <c r="E43" s="424" t="s">
        <v>347</v>
      </c>
      <c r="F43" s="318"/>
      <c r="G43" s="318"/>
      <c r="H43" s="511">
        <f>H44</f>
        <v>645203</v>
      </c>
      <c r="I43" s="511">
        <f>I44</f>
        <v>645203</v>
      </c>
      <c r="J43" s="511">
        <f>J44</f>
        <v>0</v>
      </c>
      <c r="K43" s="511">
        <f>K44</f>
        <v>0</v>
      </c>
      <c r="L43" s="411"/>
      <c r="M43" s="558"/>
      <c r="N43" s="412"/>
      <c r="O43" s="572"/>
      <c r="P43" s="402"/>
      <c r="Q43" s="402"/>
      <c r="R43" s="402"/>
    </row>
    <row r="44" spans="2:18" s="540" customFormat="1" ht="72.75" customHeight="1">
      <c r="B44" s="519" t="s">
        <v>345</v>
      </c>
      <c r="C44" s="519"/>
      <c r="D44" s="519"/>
      <c r="E44" s="424" t="s">
        <v>347</v>
      </c>
      <c r="F44" s="318"/>
      <c r="G44" s="318"/>
      <c r="H44" s="511">
        <f>SUM(H45:H51)</f>
        <v>645203</v>
      </c>
      <c r="I44" s="511">
        <f>SUM(I45:I51)</f>
        <v>645203</v>
      </c>
      <c r="J44" s="511">
        <f>SUM(J45:J47)</f>
        <v>0</v>
      </c>
      <c r="K44" s="511">
        <f>SUM(K45:K47)</f>
        <v>0</v>
      </c>
      <c r="L44" s="409"/>
      <c r="M44" s="555"/>
      <c r="N44" s="405"/>
      <c r="O44" s="567"/>
      <c r="P44" s="402"/>
      <c r="Q44" s="402"/>
      <c r="R44" s="402"/>
    </row>
    <row r="45" spans="1:18" s="540" customFormat="1" ht="67.5" customHeight="1">
      <c r="A45" s="288" t="s">
        <v>358</v>
      </c>
      <c r="B45" s="520" t="s">
        <v>255</v>
      </c>
      <c r="C45" s="520" t="s">
        <v>172</v>
      </c>
      <c r="D45" s="520" t="s">
        <v>784</v>
      </c>
      <c r="E45" s="494" t="s">
        <v>254</v>
      </c>
      <c r="F45" s="227" t="s">
        <v>815</v>
      </c>
      <c r="G45" s="227" t="s">
        <v>805</v>
      </c>
      <c r="H45" s="509">
        <f aca="true" t="shared" si="3" ref="H45:H51">I45+J45</f>
        <v>106314</v>
      </c>
      <c r="I45" s="509">
        <v>106314</v>
      </c>
      <c r="J45" s="509"/>
      <c r="K45" s="509"/>
      <c r="L45" s="409">
        <f>'Дод.3'!H48</f>
        <v>106314</v>
      </c>
      <c r="M45" s="555">
        <f>L45-I45</f>
        <v>0</v>
      </c>
      <c r="N45" s="405">
        <f>'Дод.3'!M48</f>
        <v>0</v>
      </c>
      <c r="O45" s="567">
        <f>N45-J45</f>
        <v>0</v>
      </c>
      <c r="P45" s="402"/>
      <c r="Q45" s="402"/>
      <c r="R45" s="402"/>
    </row>
    <row r="46" spans="1:18" s="540" customFormat="1" ht="70.5" customHeight="1">
      <c r="A46" s="153" t="s">
        <v>858</v>
      </c>
      <c r="B46" s="520" t="s">
        <v>257</v>
      </c>
      <c r="C46" s="520" t="s">
        <v>256</v>
      </c>
      <c r="D46" s="520" t="s">
        <v>99</v>
      </c>
      <c r="E46" s="494" t="s">
        <v>859</v>
      </c>
      <c r="F46" s="227" t="s">
        <v>815</v>
      </c>
      <c r="G46" s="227" t="s">
        <v>805</v>
      </c>
      <c r="H46" s="509">
        <f t="shared" si="3"/>
        <v>275360</v>
      </c>
      <c r="I46" s="509">
        <v>275360</v>
      </c>
      <c r="J46" s="509"/>
      <c r="K46" s="509"/>
      <c r="L46" s="409">
        <f>'Дод.3'!H49</f>
        <v>275360</v>
      </c>
      <c r="M46" s="555">
        <f aca="true" t="shared" si="4" ref="M46:M51">L46-I46</f>
        <v>0</v>
      </c>
      <c r="N46" s="405">
        <f>'Дод.3'!M49</f>
        <v>0</v>
      </c>
      <c r="O46" s="567">
        <f aca="true" t="shared" si="5" ref="O46:O51">N46-J46</f>
        <v>0</v>
      </c>
      <c r="P46" s="402"/>
      <c r="Q46" s="402"/>
      <c r="R46" s="402"/>
    </row>
    <row r="47" spans="1:18" s="540" customFormat="1" ht="76.5" customHeight="1">
      <c r="A47" s="153" t="s">
        <v>258</v>
      </c>
      <c r="B47" s="520" t="s">
        <v>365</v>
      </c>
      <c r="C47" s="520" t="s">
        <v>258</v>
      </c>
      <c r="D47" s="520" t="s">
        <v>99</v>
      </c>
      <c r="E47" s="493" t="s">
        <v>366</v>
      </c>
      <c r="F47" s="227" t="s">
        <v>815</v>
      </c>
      <c r="G47" s="227" t="s">
        <v>805</v>
      </c>
      <c r="H47" s="509">
        <f t="shared" si="3"/>
        <v>29400</v>
      </c>
      <c r="I47" s="900">
        <f>19940+9460</f>
        <v>29400</v>
      </c>
      <c r="J47" s="509"/>
      <c r="K47" s="509"/>
      <c r="L47" s="409">
        <f>'Дод.3'!H50</f>
        <v>29400</v>
      </c>
      <c r="M47" s="555">
        <f t="shared" si="4"/>
        <v>0</v>
      </c>
      <c r="N47" s="405">
        <f>'Дод.3'!M50</f>
        <v>0</v>
      </c>
      <c r="O47" s="567">
        <f t="shared" si="5"/>
        <v>0</v>
      </c>
      <c r="P47" s="402"/>
      <c r="Q47" s="402"/>
      <c r="R47" s="402"/>
    </row>
    <row r="48" spans="1:18" s="540" customFormat="1" ht="63" customHeight="1" hidden="1">
      <c r="A48" s="153">
        <v>3202</v>
      </c>
      <c r="B48" s="680" t="s">
        <v>765</v>
      </c>
      <c r="C48" s="680" t="s">
        <v>287</v>
      </c>
      <c r="D48" s="680">
        <v>1030</v>
      </c>
      <c r="E48" s="681" t="s">
        <v>726</v>
      </c>
      <c r="F48" s="227" t="s">
        <v>676</v>
      </c>
      <c r="G48" s="227"/>
      <c r="H48" s="509">
        <f t="shared" si="3"/>
        <v>0</v>
      </c>
      <c r="I48" s="509"/>
      <c r="J48" s="509"/>
      <c r="K48" s="509"/>
      <c r="L48" s="409">
        <f>'Дод.3'!H51</f>
        <v>653300</v>
      </c>
      <c r="M48" s="555">
        <f t="shared" si="4"/>
        <v>653300</v>
      </c>
      <c r="N48" s="415"/>
      <c r="O48" s="567">
        <f t="shared" si="5"/>
        <v>0</v>
      </c>
      <c r="P48" s="402"/>
      <c r="Q48" s="402"/>
      <c r="R48" s="402"/>
    </row>
    <row r="49" spans="1:18" s="540" customFormat="1" ht="102.75" customHeight="1">
      <c r="A49" s="391"/>
      <c r="B49" s="532" t="s">
        <v>765</v>
      </c>
      <c r="C49" s="532" t="s">
        <v>287</v>
      </c>
      <c r="D49" s="532">
        <v>1030</v>
      </c>
      <c r="E49" s="681" t="s">
        <v>726</v>
      </c>
      <c r="F49" s="895" t="s">
        <v>660</v>
      </c>
      <c r="G49" s="895" t="s">
        <v>662</v>
      </c>
      <c r="H49" s="900">
        <f t="shared" si="3"/>
        <v>7129</v>
      </c>
      <c r="I49" s="900">
        <f>6629+500</f>
        <v>7129</v>
      </c>
      <c r="J49" s="509"/>
      <c r="K49" s="509"/>
      <c r="L49" s="409">
        <f>'Дод.3'!H68</f>
        <v>7129</v>
      </c>
      <c r="M49" s="555">
        <f t="shared" si="4"/>
        <v>0</v>
      </c>
      <c r="N49" s="415">
        <f>'Дод.3'!M68</f>
        <v>0</v>
      </c>
      <c r="O49" s="567">
        <f t="shared" si="5"/>
        <v>0</v>
      </c>
      <c r="P49" s="402"/>
      <c r="Q49" s="402"/>
      <c r="R49" s="402"/>
    </row>
    <row r="50" spans="1:18" s="540" customFormat="1" ht="73.5" customHeight="1">
      <c r="A50" s="391"/>
      <c r="B50" s="520" t="s">
        <v>204</v>
      </c>
      <c r="C50" s="530">
        <v>3123</v>
      </c>
      <c r="D50" s="520" t="s">
        <v>73</v>
      </c>
      <c r="E50" s="499" t="s">
        <v>314</v>
      </c>
      <c r="F50" s="227" t="s">
        <v>564</v>
      </c>
      <c r="G50" s="227" t="s">
        <v>601</v>
      </c>
      <c r="H50" s="509">
        <f t="shared" si="3"/>
        <v>28000</v>
      </c>
      <c r="I50" s="509">
        <v>28000</v>
      </c>
      <c r="J50" s="509"/>
      <c r="K50" s="509"/>
      <c r="L50" s="414">
        <f>'Дод.3'!H65</f>
        <v>28000</v>
      </c>
      <c r="M50" s="555">
        <f t="shared" si="4"/>
        <v>0</v>
      </c>
      <c r="N50" s="415">
        <f>'Дод.3'!M65</f>
        <v>0</v>
      </c>
      <c r="O50" s="567">
        <f t="shared" si="5"/>
        <v>0</v>
      </c>
      <c r="P50" s="402"/>
      <c r="Q50" s="402"/>
      <c r="R50" s="402"/>
    </row>
    <row r="51" spans="1:18" s="540" customFormat="1" ht="119.25" customHeight="1">
      <c r="A51" s="391"/>
      <c r="B51" s="520" t="s">
        <v>205</v>
      </c>
      <c r="C51" s="524">
        <v>3140</v>
      </c>
      <c r="D51" s="524">
        <v>1040</v>
      </c>
      <c r="E51" s="494" t="s">
        <v>71</v>
      </c>
      <c r="F51" s="227" t="s">
        <v>562</v>
      </c>
      <c r="G51" s="227" t="s">
        <v>599</v>
      </c>
      <c r="H51" s="509">
        <f t="shared" si="3"/>
        <v>199000</v>
      </c>
      <c r="I51" s="509">
        <v>199000</v>
      </c>
      <c r="J51" s="509"/>
      <c r="K51" s="509"/>
      <c r="L51" s="414">
        <f>'Дод.3'!H66</f>
        <v>199000</v>
      </c>
      <c r="M51" s="555">
        <f t="shared" si="4"/>
        <v>0</v>
      </c>
      <c r="N51" s="415">
        <f>'Дод.3'!M66</f>
        <v>0</v>
      </c>
      <c r="O51" s="567">
        <f t="shared" si="5"/>
        <v>0</v>
      </c>
      <c r="P51" s="402"/>
      <c r="Q51" s="402"/>
      <c r="R51" s="402"/>
    </row>
    <row r="52" spans="2:18" s="540" customFormat="1" ht="72.75" customHeight="1">
      <c r="B52" s="519" t="s">
        <v>746</v>
      </c>
      <c r="C52" s="523"/>
      <c r="D52" s="523"/>
      <c r="E52" s="426" t="s">
        <v>747</v>
      </c>
      <c r="F52" s="318"/>
      <c r="G52" s="318"/>
      <c r="H52" s="511">
        <f>H53</f>
        <v>10000</v>
      </c>
      <c r="I52" s="511">
        <f>I53</f>
        <v>10000</v>
      </c>
      <c r="J52" s="511">
        <f>J53</f>
        <v>0</v>
      </c>
      <c r="K52" s="511">
        <f>K53</f>
        <v>0</v>
      </c>
      <c r="L52" s="409"/>
      <c r="M52" s="555"/>
      <c r="N52" s="405"/>
      <c r="O52" s="567"/>
      <c r="P52" s="402"/>
      <c r="Q52" s="402"/>
      <c r="R52" s="402"/>
    </row>
    <row r="53" spans="2:18" s="540" customFormat="1" ht="69.75" customHeight="1">
      <c r="B53" s="519" t="s">
        <v>748</v>
      </c>
      <c r="C53" s="523"/>
      <c r="D53" s="523"/>
      <c r="E53" s="426" t="s">
        <v>747</v>
      </c>
      <c r="F53" s="318"/>
      <c r="G53" s="318"/>
      <c r="H53" s="511">
        <f>SUM(H54)</f>
        <v>10000</v>
      </c>
      <c r="I53" s="511">
        <f>SUM(I54)</f>
        <v>10000</v>
      </c>
      <c r="J53" s="511">
        <f>SUM(J54)</f>
        <v>0</v>
      </c>
      <c r="K53" s="511">
        <f>SUM(K54)</f>
        <v>0</v>
      </c>
      <c r="L53" s="409"/>
      <c r="M53" s="555"/>
      <c r="N53" s="405"/>
      <c r="O53" s="567"/>
      <c r="P53" s="402"/>
      <c r="Q53" s="402"/>
      <c r="R53" s="402"/>
    </row>
    <row r="54" spans="1:18" s="540" customFormat="1" ht="81.75" customHeight="1">
      <c r="A54" s="151" t="s">
        <v>110</v>
      </c>
      <c r="B54" s="520" t="s">
        <v>749</v>
      </c>
      <c r="C54" s="520" t="s">
        <v>110</v>
      </c>
      <c r="D54" s="520" t="s">
        <v>73</v>
      </c>
      <c r="E54" s="496" t="s">
        <v>111</v>
      </c>
      <c r="F54" s="227" t="s">
        <v>291</v>
      </c>
      <c r="G54" s="227" t="s">
        <v>811</v>
      </c>
      <c r="H54" s="509">
        <f>I54+J54</f>
        <v>10000</v>
      </c>
      <c r="I54" s="509">
        <v>10000</v>
      </c>
      <c r="J54" s="509"/>
      <c r="K54" s="509"/>
      <c r="L54" s="409">
        <f>'Дод.3'!H73</f>
        <v>10000</v>
      </c>
      <c r="M54" s="555">
        <f>L54-I54</f>
        <v>0</v>
      </c>
      <c r="N54" s="405">
        <f>'Дод.3'!M73</f>
        <v>0</v>
      </c>
      <c r="O54" s="567">
        <f>N54-J54</f>
        <v>0</v>
      </c>
      <c r="P54" s="402"/>
      <c r="Q54" s="402"/>
      <c r="R54" s="402"/>
    </row>
    <row r="55" spans="1:18" s="540" customFormat="1" ht="77.25" customHeight="1">
      <c r="A55" s="308"/>
      <c r="B55" s="519" t="s">
        <v>782</v>
      </c>
      <c r="C55" s="519"/>
      <c r="D55" s="519"/>
      <c r="E55" s="427" t="s">
        <v>252</v>
      </c>
      <c r="F55" s="498"/>
      <c r="G55" s="498"/>
      <c r="H55" s="517">
        <f>H56</f>
        <v>141613</v>
      </c>
      <c r="I55" s="517">
        <f>I56</f>
        <v>141613</v>
      </c>
      <c r="J55" s="517">
        <f>J56</f>
        <v>0</v>
      </c>
      <c r="K55" s="517">
        <f>K56</f>
        <v>0</v>
      </c>
      <c r="L55" s="409"/>
      <c r="M55" s="555"/>
      <c r="N55" s="405"/>
      <c r="O55" s="567"/>
      <c r="P55" s="402"/>
      <c r="Q55" s="402"/>
      <c r="R55" s="402"/>
    </row>
    <row r="56" spans="1:18" s="540" customFormat="1" ht="74.25" customHeight="1">
      <c r="A56" s="308"/>
      <c r="B56" s="519" t="s">
        <v>215</v>
      </c>
      <c r="C56" s="519"/>
      <c r="D56" s="519"/>
      <c r="E56" s="427" t="s">
        <v>252</v>
      </c>
      <c r="F56" s="498"/>
      <c r="G56" s="498"/>
      <c r="H56" s="511">
        <f>SUM(H57:H60)</f>
        <v>141613</v>
      </c>
      <c r="I56" s="511">
        <f>SUM(I57:I60)</f>
        <v>141613</v>
      </c>
      <c r="J56" s="511">
        <f>SUM(J57:J60)</f>
        <v>0</v>
      </c>
      <c r="K56" s="511">
        <f>SUM(K57:K60)</f>
        <v>0</v>
      </c>
      <c r="L56" s="409"/>
      <c r="M56" s="555"/>
      <c r="N56" s="405"/>
      <c r="O56" s="567"/>
      <c r="P56" s="402"/>
      <c r="Q56" s="402"/>
      <c r="R56" s="402"/>
    </row>
    <row r="57" spans="1:18" s="540" customFormat="1" ht="58.5" customHeight="1" hidden="1">
      <c r="A57" s="308"/>
      <c r="B57" s="808" t="s">
        <v>751</v>
      </c>
      <c r="C57" s="808" t="s">
        <v>752</v>
      </c>
      <c r="D57" s="808" t="s">
        <v>411</v>
      </c>
      <c r="E57" s="811" t="s">
        <v>753</v>
      </c>
      <c r="F57" s="516" t="s">
        <v>558</v>
      </c>
      <c r="G57" s="227" t="s">
        <v>592</v>
      </c>
      <c r="H57" s="509">
        <f>I57+J57</f>
        <v>0</v>
      </c>
      <c r="I57" s="393"/>
      <c r="J57" s="393"/>
      <c r="K57" s="393"/>
      <c r="L57" s="409"/>
      <c r="M57" s="555"/>
      <c r="N57" s="405"/>
      <c r="O57" s="567"/>
      <c r="P57" s="402"/>
      <c r="Q57" s="402"/>
      <c r="R57" s="402"/>
    </row>
    <row r="58" spans="1:18" s="540" customFormat="1" ht="63" customHeight="1" hidden="1">
      <c r="A58" s="308"/>
      <c r="B58" s="810"/>
      <c r="C58" s="814"/>
      <c r="D58" s="810"/>
      <c r="E58" s="813"/>
      <c r="F58" s="227" t="s">
        <v>561</v>
      </c>
      <c r="G58" s="227" t="s">
        <v>767</v>
      </c>
      <c r="H58" s="509">
        <f>I58+J58</f>
        <v>0</v>
      </c>
      <c r="I58" s="393"/>
      <c r="J58" s="393"/>
      <c r="K58" s="393"/>
      <c r="L58" s="409"/>
      <c r="M58" s="555"/>
      <c r="N58" s="405"/>
      <c r="O58" s="567"/>
      <c r="P58" s="402"/>
      <c r="Q58" s="402"/>
      <c r="R58" s="402"/>
    </row>
    <row r="59" spans="1:18" s="540" customFormat="1" ht="73.5" customHeight="1" hidden="1">
      <c r="A59" s="308"/>
      <c r="B59" s="520" t="s">
        <v>391</v>
      </c>
      <c r="C59" s="520" t="s">
        <v>158</v>
      </c>
      <c r="D59" s="520" t="s">
        <v>415</v>
      </c>
      <c r="E59" s="496" t="s">
        <v>755</v>
      </c>
      <c r="F59" s="516" t="s">
        <v>558</v>
      </c>
      <c r="G59" s="227" t="s">
        <v>592</v>
      </c>
      <c r="H59" s="509">
        <f>I59+J59</f>
        <v>0</v>
      </c>
      <c r="I59" s="393"/>
      <c r="J59" s="393"/>
      <c r="K59" s="393"/>
      <c r="L59" s="409"/>
      <c r="M59" s="555"/>
      <c r="N59" s="405"/>
      <c r="O59" s="567"/>
      <c r="P59" s="402"/>
      <c r="Q59" s="402"/>
      <c r="R59" s="402"/>
    </row>
    <row r="60" spans="1:18" s="540" customFormat="1" ht="54.75" customHeight="1">
      <c r="A60" s="308"/>
      <c r="B60" s="520" t="s">
        <v>310</v>
      </c>
      <c r="C60" s="520" t="s">
        <v>311</v>
      </c>
      <c r="D60" s="520" t="s">
        <v>418</v>
      </c>
      <c r="E60" s="496" t="s">
        <v>313</v>
      </c>
      <c r="F60" s="307" t="s">
        <v>563</v>
      </c>
      <c r="G60" s="307" t="s">
        <v>600</v>
      </c>
      <c r="H60" s="509">
        <f>I60+J60</f>
        <v>141613</v>
      </c>
      <c r="I60" s="900">
        <f>136613+5000</f>
        <v>141613</v>
      </c>
      <c r="J60" s="512"/>
      <c r="K60" s="512"/>
      <c r="L60" s="409">
        <f>'Дод.3'!H81</f>
        <v>141613</v>
      </c>
      <c r="M60" s="555">
        <f>L60-I60</f>
        <v>0</v>
      </c>
      <c r="N60" s="405">
        <f>'Дод.3'!M81</f>
        <v>0</v>
      </c>
      <c r="O60" s="567">
        <f>N60-J60</f>
        <v>0</v>
      </c>
      <c r="P60" s="402"/>
      <c r="Q60" s="402"/>
      <c r="R60" s="402"/>
    </row>
    <row r="61" spans="2:18" s="540" customFormat="1" ht="94.5" customHeight="1">
      <c r="B61" s="531">
        <v>1200000</v>
      </c>
      <c r="C61" s="523"/>
      <c r="D61" s="523"/>
      <c r="E61" s="424" t="s">
        <v>493</v>
      </c>
      <c r="F61" s="318"/>
      <c r="G61" s="318"/>
      <c r="H61" s="511">
        <f>H62</f>
        <v>150000</v>
      </c>
      <c r="I61" s="511">
        <f>I62</f>
        <v>130000</v>
      </c>
      <c r="J61" s="511">
        <f>J62</f>
        <v>20000</v>
      </c>
      <c r="K61" s="511">
        <f>K62</f>
        <v>0</v>
      </c>
      <c r="L61" s="412"/>
      <c r="M61" s="559"/>
      <c r="N61" s="412"/>
      <c r="O61" s="572"/>
      <c r="P61" s="402"/>
      <c r="Q61" s="402"/>
      <c r="R61" s="402"/>
    </row>
    <row r="62" spans="2:18" s="540" customFormat="1" ht="96" customHeight="1">
      <c r="B62" s="525">
        <v>1210000</v>
      </c>
      <c r="C62" s="525"/>
      <c r="D62" s="525"/>
      <c r="E62" s="424" t="s">
        <v>493</v>
      </c>
      <c r="F62" s="318"/>
      <c r="G62" s="318"/>
      <c r="H62" s="511">
        <f>SUM(H64:H67)</f>
        <v>150000</v>
      </c>
      <c r="I62" s="511">
        <f>SUM(I64:I67)</f>
        <v>130000</v>
      </c>
      <c r="J62" s="511">
        <f>SUM(J64:J67)</f>
        <v>20000</v>
      </c>
      <c r="K62" s="511">
        <f>SUM(K64:K67)</f>
        <v>0</v>
      </c>
      <c r="L62" s="412"/>
      <c r="M62" s="559"/>
      <c r="N62" s="412"/>
      <c r="O62" s="572"/>
      <c r="P62" s="402"/>
      <c r="Q62" s="402"/>
      <c r="R62" s="402"/>
    </row>
    <row r="63" spans="2:18" s="540" customFormat="1" ht="99.75" customHeight="1" hidden="1">
      <c r="B63" s="524">
        <v>1216084</v>
      </c>
      <c r="C63" s="524">
        <v>6084</v>
      </c>
      <c r="D63" s="520" t="s">
        <v>432</v>
      </c>
      <c r="E63" s="428" t="s">
        <v>433</v>
      </c>
      <c r="F63" s="227" t="s">
        <v>379</v>
      </c>
      <c r="G63" s="227"/>
      <c r="H63" s="509"/>
      <c r="I63" s="514"/>
      <c r="J63" s="514"/>
      <c r="K63" s="514"/>
      <c r="L63" s="405"/>
      <c r="M63" s="559"/>
      <c r="N63" s="412"/>
      <c r="O63" s="572"/>
      <c r="P63" s="402"/>
      <c r="Q63" s="402"/>
      <c r="R63" s="402"/>
    </row>
    <row r="64" spans="1:18" s="540" customFormat="1" ht="107.25" customHeight="1">
      <c r="A64" s="285"/>
      <c r="B64" s="521" t="s">
        <v>740</v>
      </c>
      <c r="C64" s="521" t="s">
        <v>739</v>
      </c>
      <c r="D64" s="521" t="s">
        <v>70</v>
      </c>
      <c r="E64" s="495" t="s">
        <v>738</v>
      </c>
      <c r="F64" s="227" t="s">
        <v>560</v>
      </c>
      <c r="G64" s="227" t="s">
        <v>597</v>
      </c>
      <c r="H64" s="509">
        <f>I64+J64</f>
        <v>50000</v>
      </c>
      <c r="I64" s="509">
        <v>50000</v>
      </c>
      <c r="J64" s="509"/>
      <c r="K64" s="509"/>
      <c r="L64" s="405">
        <f>'Дод.3'!H86</f>
        <v>50000</v>
      </c>
      <c r="M64" s="560">
        <f>L64-I64</f>
        <v>0</v>
      </c>
      <c r="N64" s="405">
        <f>'Дод.3'!M86</f>
        <v>0</v>
      </c>
      <c r="O64" s="567">
        <f>N64-J64</f>
        <v>0</v>
      </c>
      <c r="P64" s="402"/>
      <c r="Q64" s="402"/>
      <c r="R64" s="402"/>
    </row>
    <row r="65" spans="1:18" s="540" customFormat="1" ht="90.75" customHeight="1">
      <c r="A65" s="285"/>
      <c r="B65" s="520" t="s">
        <v>367</v>
      </c>
      <c r="C65" s="520" t="s">
        <v>368</v>
      </c>
      <c r="D65" s="520" t="s">
        <v>369</v>
      </c>
      <c r="E65" s="496" t="s">
        <v>370</v>
      </c>
      <c r="F65" s="227" t="s">
        <v>813</v>
      </c>
      <c r="G65" s="227" t="s">
        <v>808</v>
      </c>
      <c r="H65" s="509">
        <f>I65+J65</f>
        <v>50000</v>
      </c>
      <c r="I65" s="509">
        <v>50000</v>
      </c>
      <c r="J65" s="509"/>
      <c r="K65" s="509"/>
      <c r="L65" s="405">
        <f>'Дод.3'!H87</f>
        <v>50000</v>
      </c>
      <c r="M65" s="560">
        <f>L65-I65</f>
        <v>0</v>
      </c>
      <c r="N65" s="405">
        <f>'Дод.3'!M87</f>
        <v>0</v>
      </c>
      <c r="O65" s="567">
        <f>N65-J65</f>
        <v>0</v>
      </c>
      <c r="P65" s="402"/>
      <c r="Q65" s="402"/>
      <c r="R65" s="402"/>
    </row>
    <row r="66" spans="1:18" s="540" customFormat="1" ht="69.75" customHeight="1">
      <c r="A66" s="285"/>
      <c r="B66" s="520" t="s">
        <v>756</v>
      </c>
      <c r="C66" s="520" t="s">
        <v>757</v>
      </c>
      <c r="D66" s="520" t="s">
        <v>422</v>
      </c>
      <c r="E66" s="496" t="s">
        <v>758</v>
      </c>
      <c r="F66" s="227" t="s">
        <v>814</v>
      </c>
      <c r="G66" s="227" t="s">
        <v>807</v>
      </c>
      <c r="H66" s="509">
        <f>I66+J66</f>
        <v>30000</v>
      </c>
      <c r="I66" s="509">
        <v>30000</v>
      </c>
      <c r="J66" s="509"/>
      <c r="K66" s="509"/>
      <c r="L66" s="405">
        <f>'Дод.3'!H88</f>
        <v>30000</v>
      </c>
      <c r="M66" s="560">
        <f>L66-I66</f>
        <v>0</v>
      </c>
      <c r="N66" s="405">
        <f>'Дод.3'!M88</f>
        <v>0</v>
      </c>
      <c r="O66" s="567">
        <f>N66-J66</f>
        <v>0</v>
      </c>
      <c r="P66" s="402"/>
      <c r="Q66" s="402"/>
      <c r="R66" s="402"/>
    </row>
    <row r="67" spans="1:18" s="540" customFormat="1" ht="73.5" customHeight="1">
      <c r="A67" s="285"/>
      <c r="B67" s="520" t="s">
        <v>371</v>
      </c>
      <c r="C67" s="520" t="s">
        <v>372</v>
      </c>
      <c r="D67" s="520" t="s">
        <v>373</v>
      </c>
      <c r="E67" s="496" t="s">
        <v>710</v>
      </c>
      <c r="F67" s="895" t="s">
        <v>814</v>
      </c>
      <c r="G67" s="895" t="s">
        <v>812</v>
      </c>
      <c r="H67" s="900">
        <f>I67+J67</f>
        <v>20000</v>
      </c>
      <c r="I67" s="900"/>
      <c r="J67" s="900">
        <v>20000</v>
      </c>
      <c r="K67" s="900"/>
      <c r="L67" s="405">
        <f>'Дод.3'!H89</f>
        <v>0</v>
      </c>
      <c r="M67" s="560">
        <f>L67-I67</f>
        <v>0</v>
      </c>
      <c r="N67" s="405">
        <f>'Дод.3'!M89</f>
        <v>20000</v>
      </c>
      <c r="O67" s="567">
        <f>N67-J67</f>
        <v>0</v>
      </c>
      <c r="P67" s="402"/>
      <c r="Q67" s="402"/>
      <c r="R67" s="402"/>
    </row>
    <row r="68" spans="1:18" s="540" customFormat="1" ht="49.5" customHeight="1" hidden="1">
      <c r="A68" s="285"/>
      <c r="B68" s="386" t="s">
        <v>378</v>
      </c>
      <c r="C68" s="386" t="s">
        <v>380</v>
      </c>
      <c r="D68" s="386"/>
      <c r="E68" s="425" t="s">
        <v>381</v>
      </c>
      <c r="F68" s="227"/>
      <c r="G68" s="227"/>
      <c r="H68" s="509"/>
      <c r="I68" s="509">
        <f>I69</f>
        <v>0</v>
      </c>
      <c r="J68" s="509">
        <f>J69</f>
        <v>0</v>
      </c>
      <c r="K68" s="509"/>
      <c r="L68" s="405"/>
      <c r="M68" s="560"/>
      <c r="N68" s="405"/>
      <c r="O68" s="567"/>
      <c r="P68" s="402"/>
      <c r="Q68" s="402"/>
      <c r="R68" s="402"/>
    </row>
    <row r="69" spans="1:18" s="540" customFormat="1" ht="57" customHeight="1" hidden="1">
      <c r="A69" s="285"/>
      <c r="B69" s="526" t="s">
        <v>382</v>
      </c>
      <c r="C69" s="526" t="s">
        <v>383</v>
      </c>
      <c r="D69" s="526" t="s">
        <v>129</v>
      </c>
      <c r="E69" s="201" t="s">
        <v>384</v>
      </c>
      <c r="F69" s="227" t="s">
        <v>379</v>
      </c>
      <c r="G69" s="227"/>
      <c r="H69" s="509"/>
      <c r="I69" s="509"/>
      <c r="J69" s="509">
        <v>0</v>
      </c>
      <c r="K69" s="509"/>
      <c r="L69" s="405"/>
      <c r="M69" s="560"/>
      <c r="N69" s="405"/>
      <c r="O69" s="567"/>
      <c r="P69" s="402"/>
      <c r="Q69" s="402"/>
      <c r="R69" s="402"/>
    </row>
    <row r="70" spans="1:18" s="540" customFormat="1" ht="87" customHeight="1" hidden="1">
      <c r="A70" s="285"/>
      <c r="B70" s="525">
        <v>1600000</v>
      </c>
      <c r="C70" s="527"/>
      <c r="D70" s="527"/>
      <c r="E70" s="427" t="s">
        <v>201</v>
      </c>
      <c r="F70" s="318"/>
      <c r="G70" s="318"/>
      <c r="H70" s="511">
        <f>H71</f>
        <v>0</v>
      </c>
      <c r="I70" s="511">
        <f>I71</f>
        <v>0</v>
      </c>
      <c r="J70" s="511">
        <f>J71</f>
        <v>0</v>
      </c>
      <c r="K70" s="511">
        <f>K71</f>
        <v>0</v>
      </c>
      <c r="L70" s="405"/>
      <c r="M70" s="560"/>
      <c r="N70" s="405"/>
      <c r="O70" s="567"/>
      <c r="P70" s="402"/>
      <c r="Q70" s="402"/>
      <c r="R70" s="402"/>
    </row>
    <row r="71" spans="1:18" s="540" customFormat="1" ht="78" customHeight="1" hidden="1">
      <c r="A71" s="285"/>
      <c r="B71" s="525">
        <v>1610000</v>
      </c>
      <c r="C71" s="527"/>
      <c r="D71" s="527"/>
      <c r="E71" s="427" t="s">
        <v>201</v>
      </c>
      <c r="F71" s="318"/>
      <c r="G71" s="318"/>
      <c r="H71" s="511">
        <f>SUM(H72)</f>
        <v>0</v>
      </c>
      <c r="I71" s="511">
        <f>SUM(I72)</f>
        <v>0</v>
      </c>
      <c r="J71" s="511">
        <f>SUM(J72)</f>
        <v>0</v>
      </c>
      <c r="K71" s="511">
        <f>SUM(K72)</f>
        <v>0</v>
      </c>
      <c r="L71" s="405"/>
      <c r="M71" s="560"/>
      <c r="N71" s="405"/>
      <c r="O71" s="567"/>
      <c r="P71" s="402"/>
      <c r="Q71" s="402"/>
      <c r="R71" s="402"/>
    </row>
    <row r="72" spans="1:18" s="545" customFormat="1" ht="57" customHeight="1" hidden="1">
      <c r="A72" s="285"/>
      <c r="B72" s="520" t="s">
        <v>202</v>
      </c>
      <c r="C72" s="520" t="s">
        <v>703</v>
      </c>
      <c r="D72" s="520" t="s">
        <v>363</v>
      </c>
      <c r="E72" s="496" t="s">
        <v>704</v>
      </c>
      <c r="F72" s="516" t="s">
        <v>558</v>
      </c>
      <c r="G72" s="227" t="s">
        <v>592</v>
      </c>
      <c r="H72" s="509">
        <f>I72+J72</f>
        <v>0</v>
      </c>
      <c r="I72" s="509"/>
      <c r="J72" s="509"/>
      <c r="K72" s="509"/>
      <c r="L72" s="254"/>
      <c r="M72" s="555"/>
      <c r="N72" s="254"/>
      <c r="O72" s="573"/>
      <c r="P72" s="417"/>
      <c r="Q72" s="417"/>
      <c r="R72" s="417"/>
    </row>
    <row r="73" spans="1:18" s="540" customFormat="1" ht="61.5" customHeight="1" hidden="1">
      <c r="A73" s="285"/>
      <c r="B73" s="525">
        <v>2400000</v>
      </c>
      <c r="C73" s="527"/>
      <c r="D73" s="527"/>
      <c r="E73" s="427" t="s">
        <v>253</v>
      </c>
      <c r="F73" s="318"/>
      <c r="G73" s="318"/>
      <c r="H73" s="511">
        <f>H74</f>
        <v>0</v>
      </c>
      <c r="I73" s="511">
        <f>I74</f>
        <v>0</v>
      </c>
      <c r="J73" s="511">
        <f>J74</f>
        <v>0</v>
      </c>
      <c r="K73" s="511">
        <f>K74</f>
        <v>0</v>
      </c>
      <c r="L73" s="405"/>
      <c r="M73" s="560"/>
      <c r="N73" s="405"/>
      <c r="O73" s="567"/>
      <c r="P73" s="402"/>
      <c r="Q73" s="402"/>
      <c r="R73" s="402"/>
    </row>
    <row r="74" spans="1:18" s="540" customFormat="1" ht="71.25" customHeight="1" hidden="1">
      <c r="A74" s="285"/>
      <c r="B74" s="525">
        <v>2410000</v>
      </c>
      <c r="C74" s="527"/>
      <c r="D74" s="527"/>
      <c r="E74" s="427" t="s">
        <v>253</v>
      </c>
      <c r="F74" s="318"/>
      <c r="G74" s="318"/>
      <c r="H74" s="511">
        <f>SUM(H75:H76)</f>
        <v>0</v>
      </c>
      <c r="I74" s="511">
        <f>SUM(I75:I76)</f>
        <v>0</v>
      </c>
      <c r="J74" s="511">
        <f>SUM(J75:J76)</f>
        <v>0</v>
      </c>
      <c r="K74" s="511">
        <f>SUM(K75:K76)</f>
        <v>0</v>
      </c>
      <c r="L74" s="405"/>
      <c r="M74" s="560"/>
      <c r="N74" s="405"/>
      <c r="O74" s="567"/>
      <c r="P74" s="402"/>
      <c r="Q74" s="402"/>
      <c r="R74" s="402"/>
    </row>
    <row r="75" spans="1:18" s="540" customFormat="1" ht="66" customHeight="1" hidden="1">
      <c r="A75" s="285"/>
      <c r="B75" s="524">
        <v>2417110</v>
      </c>
      <c r="C75" s="524">
        <v>7110</v>
      </c>
      <c r="D75" s="520" t="s">
        <v>100</v>
      </c>
      <c r="E75" s="496" t="s">
        <v>274</v>
      </c>
      <c r="F75" s="227" t="s">
        <v>575</v>
      </c>
      <c r="G75" s="227" t="s">
        <v>602</v>
      </c>
      <c r="H75" s="509">
        <f>I75+J75</f>
        <v>0</v>
      </c>
      <c r="I75" s="509"/>
      <c r="J75" s="509"/>
      <c r="K75" s="509"/>
      <c r="L75" s="405"/>
      <c r="M75" s="560"/>
      <c r="N75" s="405"/>
      <c r="O75" s="567"/>
      <c r="P75" s="402"/>
      <c r="Q75" s="402"/>
      <c r="R75" s="402"/>
    </row>
    <row r="76" spans="1:18" s="540" customFormat="1" ht="62.25" customHeight="1" hidden="1">
      <c r="A76" s="285"/>
      <c r="B76" s="524">
        <v>2417140</v>
      </c>
      <c r="C76" s="524">
        <v>7140</v>
      </c>
      <c r="D76" s="520" t="s">
        <v>100</v>
      </c>
      <c r="E76" s="496" t="s">
        <v>725</v>
      </c>
      <c r="F76" s="227" t="s">
        <v>552</v>
      </c>
      <c r="G76" s="227" t="s">
        <v>553</v>
      </c>
      <c r="H76" s="509">
        <f>I76+J76</f>
        <v>0</v>
      </c>
      <c r="I76" s="509"/>
      <c r="J76" s="509"/>
      <c r="K76" s="509"/>
      <c r="L76" s="405"/>
      <c r="M76" s="560"/>
      <c r="N76" s="405"/>
      <c r="O76" s="567"/>
      <c r="P76" s="402"/>
      <c r="Q76" s="402"/>
      <c r="R76" s="402"/>
    </row>
    <row r="77" spans="1:18" s="540" customFormat="1" ht="68.25" customHeight="1" hidden="1">
      <c r="A77" s="285"/>
      <c r="B77" s="519" t="s">
        <v>275</v>
      </c>
      <c r="C77" s="522"/>
      <c r="D77" s="522"/>
      <c r="E77" s="427" t="s">
        <v>423</v>
      </c>
      <c r="F77" s="318"/>
      <c r="G77" s="318"/>
      <c r="H77" s="511">
        <f>H78</f>
        <v>0</v>
      </c>
      <c r="I77" s="511">
        <f>I78</f>
        <v>0</v>
      </c>
      <c r="J77" s="511">
        <f>J78</f>
        <v>0</v>
      </c>
      <c r="K77" s="511">
        <f>K78</f>
        <v>0</v>
      </c>
      <c r="L77" s="405"/>
      <c r="M77" s="560"/>
      <c r="N77" s="405"/>
      <c r="O77" s="567"/>
      <c r="P77" s="402"/>
      <c r="Q77" s="402"/>
      <c r="R77" s="402"/>
    </row>
    <row r="78" spans="1:18" s="540" customFormat="1" ht="68.25" customHeight="1" hidden="1">
      <c r="A78" s="285"/>
      <c r="B78" s="519" t="s">
        <v>276</v>
      </c>
      <c r="C78" s="522"/>
      <c r="D78" s="522"/>
      <c r="E78" s="427" t="s">
        <v>423</v>
      </c>
      <c r="F78" s="318"/>
      <c r="G78" s="318"/>
      <c r="H78" s="511">
        <f>SUM(H79:H80)</f>
        <v>0</v>
      </c>
      <c r="I78" s="511">
        <f>SUM(I79:I80)</f>
        <v>0</v>
      </c>
      <c r="J78" s="511">
        <f>SUM(J79:J80)</f>
        <v>0</v>
      </c>
      <c r="K78" s="511">
        <f>SUM(K79:K80)</f>
        <v>0</v>
      </c>
      <c r="L78" s="405"/>
      <c r="M78" s="560"/>
      <c r="N78" s="405"/>
      <c r="O78" s="567"/>
      <c r="P78" s="402"/>
      <c r="Q78" s="402"/>
      <c r="R78" s="402"/>
    </row>
    <row r="79" spans="1:18" s="540" customFormat="1" ht="68.25" customHeight="1" hidden="1">
      <c r="A79" s="285"/>
      <c r="B79" s="520" t="s">
        <v>277</v>
      </c>
      <c r="C79" s="520" t="s">
        <v>735</v>
      </c>
      <c r="D79" s="520" t="s">
        <v>176</v>
      </c>
      <c r="E79" s="496" t="s">
        <v>177</v>
      </c>
      <c r="F79" s="227" t="s">
        <v>576</v>
      </c>
      <c r="G79" s="227" t="s">
        <v>603</v>
      </c>
      <c r="H79" s="509">
        <f>I79+J79</f>
        <v>0</v>
      </c>
      <c r="I79" s="509"/>
      <c r="J79" s="509"/>
      <c r="K79" s="509"/>
      <c r="L79" s="405"/>
      <c r="M79" s="560"/>
      <c r="N79" s="405"/>
      <c r="O79" s="567"/>
      <c r="P79" s="402"/>
      <c r="Q79" s="402"/>
      <c r="R79" s="402"/>
    </row>
    <row r="80" spans="1:18" s="540" customFormat="1" ht="47.25" customHeight="1" hidden="1">
      <c r="A80" s="285"/>
      <c r="B80" s="521" t="s">
        <v>374</v>
      </c>
      <c r="C80" s="521" t="s">
        <v>375</v>
      </c>
      <c r="D80" s="521" t="s">
        <v>376</v>
      </c>
      <c r="E80" s="501" t="s">
        <v>377</v>
      </c>
      <c r="F80" s="227" t="s">
        <v>577</v>
      </c>
      <c r="G80" s="227" t="s">
        <v>604</v>
      </c>
      <c r="H80" s="509">
        <f>I80+J80</f>
        <v>0</v>
      </c>
      <c r="I80" s="513"/>
      <c r="J80" s="513"/>
      <c r="K80" s="513"/>
      <c r="L80" s="405"/>
      <c r="M80" s="560"/>
      <c r="N80" s="405"/>
      <c r="O80" s="567"/>
      <c r="P80" s="402"/>
      <c r="Q80" s="402"/>
      <c r="R80" s="402"/>
    </row>
    <row r="81" spans="2:18" s="540" customFormat="1" ht="62.25" customHeight="1">
      <c r="B81" s="519" t="s">
        <v>278</v>
      </c>
      <c r="C81" s="519"/>
      <c r="D81" s="519"/>
      <c r="E81" s="424" t="s">
        <v>452</v>
      </c>
      <c r="F81" s="318"/>
      <c r="G81" s="318"/>
      <c r="H81" s="511">
        <f>H82</f>
        <v>1431766</v>
      </c>
      <c r="I81" s="511">
        <f>I82</f>
        <v>952662</v>
      </c>
      <c r="J81" s="511">
        <f>J82</f>
        <v>479104</v>
      </c>
      <c r="K81" s="511">
        <f>K82</f>
        <v>479104</v>
      </c>
      <c r="L81" s="413"/>
      <c r="M81" s="559"/>
      <c r="N81" s="412"/>
      <c r="O81" s="572"/>
      <c r="P81" s="402"/>
      <c r="Q81" s="402"/>
      <c r="R81" s="402"/>
    </row>
    <row r="82" spans="2:18" s="540" customFormat="1" ht="62.25" customHeight="1">
      <c r="B82" s="519" t="s">
        <v>279</v>
      </c>
      <c r="C82" s="519"/>
      <c r="D82" s="519"/>
      <c r="E82" s="424" t="s">
        <v>452</v>
      </c>
      <c r="F82" s="318"/>
      <c r="G82" s="318"/>
      <c r="H82" s="511">
        <f>SUM(H83:H99)</f>
        <v>1431766</v>
      </c>
      <c r="I82" s="511">
        <f>SUM(I83:I99)</f>
        <v>952662</v>
      </c>
      <c r="J82" s="511">
        <f>SUM(J83:J99)</f>
        <v>479104</v>
      </c>
      <c r="K82" s="511">
        <f>SUM(K83:K99)</f>
        <v>479104</v>
      </c>
      <c r="L82" s="413"/>
      <c r="M82" s="559"/>
      <c r="N82" s="412"/>
      <c r="O82" s="572"/>
      <c r="P82" s="402"/>
      <c r="Q82" s="402"/>
      <c r="R82" s="402"/>
    </row>
    <row r="83" spans="1:18" s="540" customFormat="1" ht="85.5" customHeight="1">
      <c r="A83" s="52">
        <v>8800</v>
      </c>
      <c r="B83" s="825">
        <v>3719770</v>
      </c>
      <c r="C83" s="822">
        <v>9770</v>
      </c>
      <c r="D83" s="809" t="s">
        <v>420</v>
      </c>
      <c r="E83" s="812" t="s">
        <v>734</v>
      </c>
      <c r="F83" s="227" t="s">
        <v>578</v>
      </c>
      <c r="G83" s="227" t="s">
        <v>605</v>
      </c>
      <c r="H83" s="509">
        <f aca="true" t="shared" si="6" ref="H83:H99">I83+J83</f>
        <v>350000</v>
      </c>
      <c r="I83" s="509"/>
      <c r="J83" s="509">
        <v>350000</v>
      </c>
      <c r="K83" s="509">
        <v>350000</v>
      </c>
      <c r="L83" s="404"/>
      <c r="M83" s="560"/>
      <c r="N83" s="405"/>
      <c r="O83" s="574"/>
      <c r="P83" s="402"/>
      <c r="Q83" s="402"/>
      <c r="R83" s="402"/>
    </row>
    <row r="84" spans="1:18" s="540" customFormat="1" ht="60" customHeight="1" hidden="1">
      <c r="A84" s="285"/>
      <c r="B84" s="825"/>
      <c r="C84" s="822"/>
      <c r="D84" s="809"/>
      <c r="E84" s="812"/>
      <c r="F84" s="227" t="s">
        <v>579</v>
      </c>
      <c r="G84" s="227" t="s">
        <v>606</v>
      </c>
      <c r="H84" s="509">
        <f t="shared" si="6"/>
        <v>0</v>
      </c>
      <c r="I84" s="509"/>
      <c r="J84" s="509"/>
      <c r="K84" s="509"/>
      <c r="L84" s="405"/>
      <c r="M84" s="560"/>
      <c r="N84" s="405"/>
      <c r="O84" s="574"/>
      <c r="P84" s="402"/>
      <c r="Q84" s="402"/>
      <c r="R84" s="402"/>
    </row>
    <row r="85" spans="1:18" s="540" customFormat="1" ht="98.25" customHeight="1" hidden="1">
      <c r="A85" s="285"/>
      <c r="B85" s="825"/>
      <c r="C85" s="822"/>
      <c r="D85" s="809"/>
      <c r="E85" s="812"/>
      <c r="F85" s="227" t="s">
        <v>580</v>
      </c>
      <c r="G85" s="227" t="s">
        <v>607</v>
      </c>
      <c r="H85" s="509">
        <f t="shared" si="6"/>
        <v>0</v>
      </c>
      <c r="I85" s="509"/>
      <c r="J85" s="509"/>
      <c r="K85" s="509"/>
      <c r="L85" s="405"/>
      <c r="M85" s="560"/>
      <c r="N85" s="405"/>
      <c r="O85" s="574"/>
      <c r="P85" s="402"/>
      <c r="Q85" s="402"/>
      <c r="R85" s="402"/>
    </row>
    <row r="86" spans="1:18" s="540" customFormat="1" ht="63.75" customHeight="1" hidden="1">
      <c r="A86" s="285"/>
      <c r="B86" s="825"/>
      <c r="C86" s="822"/>
      <c r="D86" s="809"/>
      <c r="E86" s="812"/>
      <c r="F86" s="227" t="s">
        <v>559</v>
      </c>
      <c r="G86" s="227" t="s">
        <v>608</v>
      </c>
      <c r="H86" s="509">
        <f t="shared" si="6"/>
        <v>0</v>
      </c>
      <c r="I86" s="509"/>
      <c r="J86" s="509"/>
      <c r="K86" s="509"/>
      <c r="L86" s="405"/>
      <c r="M86" s="560"/>
      <c r="N86" s="405"/>
      <c r="O86" s="574"/>
      <c r="P86" s="402"/>
      <c r="Q86" s="402"/>
      <c r="R86" s="402"/>
    </row>
    <row r="87" spans="1:18" s="540" customFormat="1" ht="103.5" customHeight="1">
      <c r="A87" s="285"/>
      <c r="B87" s="825"/>
      <c r="C87" s="822"/>
      <c r="D87" s="809"/>
      <c r="E87" s="812"/>
      <c r="F87" s="895" t="s">
        <v>560</v>
      </c>
      <c r="G87" s="895" t="s">
        <v>609</v>
      </c>
      <c r="H87" s="900">
        <f t="shared" si="6"/>
        <v>50000</v>
      </c>
      <c r="I87" s="900"/>
      <c r="J87" s="900">
        <v>50000</v>
      </c>
      <c r="K87" s="900">
        <v>50000</v>
      </c>
      <c r="L87" s="405"/>
      <c r="M87" s="560"/>
      <c r="N87" s="405"/>
      <c r="O87" s="574"/>
      <c r="P87" s="402"/>
      <c r="Q87" s="402"/>
      <c r="R87" s="402"/>
    </row>
    <row r="88" spans="1:18" s="540" customFormat="1" ht="62.25" customHeight="1" hidden="1">
      <c r="A88" s="285"/>
      <c r="B88" s="825"/>
      <c r="C88" s="822"/>
      <c r="D88" s="809"/>
      <c r="E88" s="812"/>
      <c r="F88" s="895" t="s">
        <v>558</v>
      </c>
      <c r="G88" s="895" t="s">
        <v>592</v>
      </c>
      <c r="H88" s="900">
        <f t="shared" si="6"/>
        <v>0</v>
      </c>
      <c r="I88" s="900"/>
      <c r="J88" s="900"/>
      <c r="K88" s="900"/>
      <c r="L88" s="405"/>
      <c r="M88" s="560"/>
      <c r="N88" s="405"/>
      <c r="O88" s="574"/>
      <c r="P88" s="402"/>
      <c r="Q88" s="402"/>
      <c r="R88" s="402"/>
    </row>
    <row r="89" spans="1:18" s="540" customFormat="1" ht="67.5" customHeight="1">
      <c r="A89" s="285"/>
      <c r="B89" s="825"/>
      <c r="C89" s="822"/>
      <c r="D89" s="809"/>
      <c r="E89" s="812"/>
      <c r="F89" s="895" t="s">
        <v>816</v>
      </c>
      <c r="G89" s="895" t="s">
        <v>804</v>
      </c>
      <c r="H89" s="900">
        <f t="shared" si="6"/>
        <v>2213</v>
      </c>
      <c r="I89" s="900">
        <v>2213</v>
      </c>
      <c r="J89" s="900"/>
      <c r="K89" s="900"/>
      <c r="L89" s="405"/>
      <c r="M89" s="560"/>
      <c r="N89" s="405"/>
      <c r="O89" s="574"/>
      <c r="P89" s="402"/>
      <c r="Q89" s="402"/>
      <c r="R89" s="402"/>
    </row>
    <row r="90" spans="1:18" s="540" customFormat="1" ht="56.25" customHeight="1" hidden="1">
      <c r="A90" s="285"/>
      <c r="B90" s="826"/>
      <c r="C90" s="823"/>
      <c r="D90" s="810"/>
      <c r="E90" s="813"/>
      <c r="F90" s="227" t="s">
        <v>556</v>
      </c>
      <c r="G90" s="227" t="s">
        <v>596</v>
      </c>
      <c r="H90" s="509">
        <f t="shared" si="6"/>
        <v>0</v>
      </c>
      <c r="I90" s="509"/>
      <c r="J90" s="509"/>
      <c r="K90" s="509"/>
      <c r="L90" s="405"/>
      <c r="M90" s="560"/>
      <c r="N90" s="405"/>
      <c r="O90" s="574"/>
      <c r="P90" s="402"/>
      <c r="Q90" s="402"/>
      <c r="R90" s="402"/>
    </row>
    <row r="91" spans="1:18" s="540" customFormat="1" ht="99.75" customHeight="1">
      <c r="A91" s="285"/>
      <c r="B91" s="824">
        <v>3719800</v>
      </c>
      <c r="C91" s="824">
        <v>9800</v>
      </c>
      <c r="D91" s="808" t="s">
        <v>420</v>
      </c>
      <c r="E91" s="811" t="s">
        <v>745</v>
      </c>
      <c r="F91" s="895" t="s">
        <v>581</v>
      </c>
      <c r="G91" s="895" t="s">
        <v>610</v>
      </c>
      <c r="H91" s="900">
        <f t="shared" si="6"/>
        <v>1029553</v>
      </c>
      <c r="I91" s="900">
        <v>950449</v>
      </c>
      <c r="J91" s="900">
        <v>79104</v>
      </c>
      <c r="K91" s="900">
        <v>79104</v>
      </c>
      <c r="L91" s="405"/>
      <c r="M91" s="560"/>
      <c r="N91" s="405"/>
      <c r="O91" s="574"/>
      <c r="P91" s="402"/>
      <c r="Q91" s="402"/>
      <c r="R91" s="402"/>
    </row>
    <row r="92" spans="1:18" s="540" customFormat="1" ht="51.75" customHeight="1" hidden="1">
      <c r="A92" s="285"/>
      <c r="B92" s="825"/>
      <c r="C92" s="827"/>
      <c r="D92" s="809"/>
      <c r="E92" s="812"/>
      <c r="F92" s="227"/>
      <c r="G92" s="227"/>
      <c r="H92" s="509">
        <f t="shared" si="6"/>
        <v>0</v>
      </c>
      <c r="I92" s="509"/>
      <c r="J92" s="509"/>
      <c r="K92" s="509"/>
      <c r="L92" s="405"/>
      <c r="M92" s="560"/>
      <c r="N92" s="405"/>
      <c r="O92" s="574"/>
      <c r="P92" s="402"/>
      <c r="Q92" s="402"/>
      <c r="R92" s="402"/>
    </row>
    <row r="93" spans="1:18" s="540" customFormat="1" ht="63" customHeight="1" hidden="1">
      <c r="A93" s="285"/>
      <c r="B93" s="825"/>
      <c r="C93" s="827"/>
      <c r="D93" s="809"/>
      <c r="E93" s="812"/>
      <c r="F93" s="227" t="s">
        <v>559</v>
      </c>
      <c r="G93" s="227" t="s">
        <v>595</v>
      </c>
      <c r="H93" s="509">
        <f t="shared" si="6"/>
        <v>0</v>
      </c>
      <c r="I93" s="509"/>
      <c r="J93" s="509"/>
      <c r="K93" s="509"/>
      <c r="L93" s="405"/>
      <c r="M93" s="560"/>
      <c r="N93" s="405"/>
      <c r="O93" s="574"/>
      <c r="P93" s="402"/>
      <c r="Q93" s="402"/>
      <c r="R93" s="402"/>
    </row>
    <row r="94" spans="1:18" s="540" customFormat="1" ht="63" customHeight="1" hidden="1">
      <c r="A94" s="285"/>
      <c r="B94" s="825"/>
      <c r="C94" s="827"/>
      <c r="D94" s="809"/>
      <c r="E94" s="812"/>
      <c r="F94" s="227" t="s">
        <v>582</v>
      </c>
      <c r="G94" s="227" t="s">
        <v>612</v>
      </c>
      <c r="H94" s="509">
        <f t="shared" si="6"/>
        <v>0</v>
      </c>
      <c r="I94" s="509"/>
      <c r="J94" s="509"/>
      <c r="K94" s="509"/>
      <c r="L94" s="405"/>
      <c r="M94" s="560"/>
      <c r="N94" s="405"/>
      <c r="O94" s="574"/>
      <c r="P94" s="402"/>
      <c r="Q94" s="402"/>
      <c r="R94" s="402"/>
    </row>
    <row r="95" spans="1:18" s="540" customFormat="1" ht="58.5" customHeight="1" hidden="1">
      <c r="A95" s="285"/>
      <c r="B95" s="825"/>
      <c r="C95" s="827"/>
      <c r="D95" s="809"/>
      <c r="E95" s="812"/>
      <c r="F95" s="227" t="s">
        <v>583</v>
      </c>
      <c r="G95" s="227" t="s">
        <v>613</v>
      </c>
      <c r="H95" s="509">
        <f t="shared" si="6"/>
        <v>0</v>
      </c>
      <c r="I95" s="509"/>
      <c r="J95" s="509"/>
      <c r="K95" s="509"/>
      <c r="L95" s="405"/>
      <c r="M95" s="560"/>
      <c r="N95" s="405"/>
      <c r="O95" s="574"/>
      <c r="P95" s="402"/>
      <c r="Q95" s="402"/>
      <c r="R95" s="402"/>
    </row>
    <row r="96" spans="1:18" s="540" customFormat="1" ht="60" customHeight="1" hidden="1">
      <c r="A96" s="285"/>
      <c r="B96" s="825"/>
      <c r="C96" s="827"/>
      <c r="D96" s="809"/>
      <c r="E96" s="812"/>
      <c r="F96" s="227" t="s">
        <v>584</v>
      </c>
      <c r="G96" s="227" t="s">
        <v>614</v>
      </c>
      <c r="H96" s="509">
        <f t="shared" si="6"/>
        <v>0</v>
      </c>
      <c r="I96" s="509"/>
      <c r="J96" s="509"/>
      <c r="K96" s="509"/>
      <c r="L96" s="405"/>
      <c r="M96" s="560"/>
      <c r="N96" s="405"/>
      <c r="O96" s="574"/>
      <c r="P96" s="402"/>
      <c r="Q96" s="402"/>
      <c r="R96" s="402"/>
    </row>
    <row r="97" spans="1:18" s="540" customFormat="1" ht="56.25" customHeight="1" hidden="1">
      <c r="A97" s="285"/>
      <c r="B97" s="825"/>
      <c r="C97" s="827"/>
      <c r="D97" s="809"/>
      <c r="E97" s="812"/>
      <c r="F97" s="227" t="s">
        <v>585</v>
      </c>
      <c r="G97" s="227" t="s">
        <v>615</v>
      </c>
      <c r="H97" s="509">
        <f t="shared" si="6"/>
        <v>0</v>
      </c>
      <c r="I97" s="509"/>
      <c r="J97" s="509"/>
      <c r="K97" s="509"/>
      <c r="L97" s="405"/>
      <c r="M97" s="560"/>
      <c r="N97" s="405"/>
      <c r="O97" s="574"/>
      <c r="P97" s="402"/>
      <c r="Q97" s="402"/>
      <c r="R97" s="402"/>
    </row>
    <row r="98" spans="1:18" s="540" customFormat="1" ht="61.5" customHeight="1" hidden="1">
      <c r="A98" s="285"/>
      <c r="B98" s="825"/>
      <c r="C98" s="827"/>
      <c r="D98" s="809"/>
      <c r="E98" s="812"/>
      <c r="F98" s="227" t="s">
        <v>586</v>
      </c>
      <c r="G98" s="227" t="s">
        <v>616</v>
      </c>
      <c r="H98" s="509">
        <f t="shared" si="6"/>
        <v>0</v>
      </c>
      <c r="I98" s="509"/>
      <c r="J98" s="509"/>
      <c r="K98" s="509"/>
      <c r="L98" s="405"/>
      <c r="M98" s="560"/>
      <c r="N98" s="405"/>
      <c r="O98" s="574"/>
      <c r="P98" s="402"/>
      <c r="Q98" s="402"/>
      <c r="R98" s="402"/>
    </row>
    <row r="99" spans="1:18" s="540" customFormat="1" ht="46.5" customHeight="1" hidden="1">
      <c r="A99" s="285"/>
      <c r="B99" s="826"/>
      <c r="C99" s="814"/>
      <c r="D99" s="810"/>
      <c r="E99" s="813"/>
      <c r="F99" s="227" t="s">
        <v>587</v>
      </c>
      <c r="G99" s="227" t="s">
        <v>617</v>
      </c>
      <c r="H99" s="509">
        <f t="shared" si="6"/>
        <v>0</v>
      </c>
      <c r="I99" s="509"/>
      <c r="J99" s="509"/>
      <c r="K99" s="509"/>
      <c r="L99" s="405"/>
      <c r="M99" s="560"/>
      <c r="N99" s="405"/>
      <c r="O99" s="574"/>
      <c r="P99" s="402"/>
      <c r="Q99" s="402"/>
      <c r="R99" s="402"/>
    </row>
    <row r="100" spans="2:18" s="540" customFormat="1" ht="24.75" customHeight="1">
      <c r="B100" s="179" t="s">
        <v>162</v>
      </c>
      <c r="C100" s="179" t="s">
        <v>162</v>
      </c>
      <c r="D100" s="179" t="s">
        <v>618</v>
      </c>
      <c r="E100" s="287" t="s">
        <v>619</v>
      </c>
      <c r="F100" s="503" t="s">
        <v>162</v>
      </c>
      <c r="G100" s="503" t="s">
        <v>162</v>
      </c>
      <c r="H100" s="510">
        <f>I100+J100</f>
        <v>16655736</v>
      </c>
      <c r="I100" s="515">
        <f>I81++I77+I73+I70+I61+I55+I52+I43+I32+I17+I11</f>
        <v>12972282</v>
      </c>
      <c r="J100" s="515">
        <f>J81++J77+J73+J70+J61+J55+J52+J43+J32+J17+J11</f>
        <v>3683454</v>
      </c>
      <c r="K100" s="515">
        <f>K81++K77+K73+K70+K61+K55+K52+K43+K32+K17+K11</f>
        <v>3329104</v>
      </c>
      <c r="L100" s="409"/>
      <c r="M100" s="560"/>
      <c r="N100" s="405"/>
      <c r="O100" s="567"/>
      <c r="P100" s="402"/>
      <c r="Q100" s="402"/>
      <c r="R100" s="402"/>
    </row>
    <row r="101" spans="2:18" s="540" customFormat="1" ht="20.25" customHeight="1" hidden="1">
      <c r="B101" s="180"/>
      <c r="C101" s="180"/>
      <c r="D101" s="180"/>
      <c r="E101" s="173"/>
      <c r="F101" s="193"/>
      <c r="G101" s="193"/>
      <c r="H101" s="504"/>
      <c r="I101" s="252"/>
      <c r="J101" s="253"/>
      <c r="K101" s="253"/>
      <c r="L101" s="246"/>
      <c r="M101" s="554"/>
      <c r="N101" s="416"/>
      <c r="O101" s="567"/>
      <c r="P101" s="402"/>
      <c r="Q101" s="402"/>
      <c r="R101" s="402"/>
    </row>
    <row r="102" spans="2:18" s="540" customFormat="1" ht="20.25" customHeight="1">
      <c r="B102" s="174"/>
      <c r="C102" s="174"/>
      <c r="D102" s="174"/>
      <c r="E102" s="173"/>
      <c r="F102" s="193"/>
      <c r="G102" s="193"/>
      <c r="H102" s="504"/>
      <c r="I102" s="107"/>
      <c r="J102" s="197"/>
      <c r="K102" s="197"/>
      <c r="L102" s="246"/>
      <c r="M102" s="553"/>
      <c r="N102" s="402"/>
      <c r="O102" s="552"/>
      <c r="P102" s="402"/>
      <c r="Q102" s="402"/>
      <c r="R102" s="402"/>
    </row>
    <row r="103" spans="2:18" s="540" customFormat="1" ht="20.25">
      <c r="B103" s="174"/>
      <c r="C103" s="174"/>
      <c r="D103" s="174"/>
      <c r="E103" s="173" t="s">
        <v>4</v>
      </c>
      <c r="F103" s="193"/>
      <c r="G103" s="193"/>
      <c r="H103" s="504"/>
      <c r="I103" s="840" t="s">
        <v>434</v>
      </c>
      <c r="J103" s="841"/>
      <c r="K103" s="841"/>
      <c r="L103" s="246"/>
      <c r="M103" s="553"/>
      <c r="N103" s="402"/>
      <c r="O103" s="552"/>
      <c r="P103" s="402"/>
      <c r="Q103" s="402"/>
      <c r="R103" s="402"/>
    </row>
    <row r="104" spans="2:18" s="540" customFormat="1" ht="20.25">
      <c r="B104" s="174"/>
      <c r="C104" s="174"/>
      <c r="D104" s="174"/>
      <c r="E104" s="711"/>
      <c r="F104" s="711"/>
      <c r="G104" s="176"/>
      <c r="H104" s="174"/>
      <c r="I104" s="107"/>
      <c r="J104" s="197"/>
      <c r="K104" s="197"/>
      <c r="L104" s="402"/>
      <c r="M104" s="561"/>
      <c r="N104" s="402"/>
      <c r="O104" s="552"/>
      <c r="P104" s="402"/>
      <c r="Q104" s="402"/>
      <c r="R104" s="402"/>
    </row>
    <row r="105" spans="2:18" s="540" customFormat="1" ht="20.25">
      <c r="B105" s="174"/>
      <c r="C105" s="174"/>
      <c r="D105" s="174"/>
      <c r="E105" s="173"/>
      <c r="F105" s="193"/>
      <c r="G105" s="193"/>
      <c r="H105" s="504"/>
      <c r="I105" s="107"/>
      <c r="J105" s="197"/>
      <c r="K105" s="197"/>
      <c r="L105" s="402"/>
      <c r="M105" s="561"/>
      <c r="N105" s="402"/>
      <c r="O105" s="552"/>
      <c r="P105" s="402"/>
      <c r="Q105" s="402"/>
      <c r="R105" s="402"/>
    </row>
    <row r="106" spans="2:11" ht="20.25">
      <c r="B106" s="174"/>
      <c r="C106" s="174"/>
      <c r="D106" s="174"/>
      <c r="E106" s="173"/>
      <c r="F106" s="193"/>
      <c r="G106" s="193"/>
      <c r="H106" s="504"/>
      <c r="I106" s="176"/>
      <c r="J106" s="397"/>
      <c r="K106" s="397"/>
    </row>
    <row r="107" spans="2:14" ht="20.25">
      <c r="B107" s="174"/>
      <c r="C107" s="174"/>
      <c r="D107" s="195"/>
      <c r="E107" s="116"/>
      <c r="F107" s="196"/>
      <c r="G107" s="196"/>
      <c r="H107" s="505"/>
      <c r="I107" s="107"/>
      <c r="J107" s="197"/>
      <c r="K107" s="197"/>
      <c r="L107" s="417"/>
      <c r="M107" s="562"/>
      <c r="N107" s="417"/>
    </row>
    <row r="108" spans="2:16" ht="20.25">
      <c r="B108" s="174"/>
      <c r="C108" s="174"/>
      <c r="D108" s="195"/>
      <c r="E108" s="828"/>
      <c r="F108" s="828"/>
      <c r="G108" s="441"/>
      <c r="H108" s="441"/>
      <c r="I108" s="234"/>
      <c r="J108" s="277"/>
      <c r="K108" s="277"/>
      <c r="L108" s="418"/>
      <c r="M108" s="563"/>
      <c r="N108" s="418"/>
      <c r="O108" s="575"/>
      <c r="P108" s="416"/>
    </row>
    <row r="109" spans="2:18" s="194" customFormat="1" ht="40.5" customHeight="1">
      <c r="B109" s="174"/>
      <c r="C109" s="174"/>
      <c r="D109" s="174"/>
      <c r="E109" s="821"/>
      <c r="F109" s="821"/>
      <c r="G109" s="439"/>
      <c r="H109" s="506"/>
      <c r="I109" s="118"/>
      <c r="J109" s="118"/>
      <c r="K109" s="118"/>
      <c r="L109" s="419"/>
      <c r="M109" s="564"/>
      <c r="N109" s="419"/>
      <c r="O109" s="564"/>
      <c r="P109" s="420"/>
      <c r="Q109" s="402"/>
      <c r="R109" s="402"/>
    </row>
    <row r="110" spans="2:18" s="194" customFormat="1" ht="63" customHeight="1">
      <c r="B110" s="528"/>
      <c r="C110" s="528"/>
      <c r="D110" s="528"/>
      <c r="E110" s="821"/>
      <c r="F110" s="821"/>
      <c r="G110" s="439"/>
      <c r="H110" s="506"/>
      <c r="I110" s="118"/>
      <c r="J110" s="119"/>
      <c r="K110" s="119"/>
      <c r="L110" s="403"/>
      <c r="M110" s="554"/>
      <c r="N110" s="421"/>
      <c r="O110" s="576"/>
      <c r="P110" s="420"/>
      <c r="Q110" s="402"/>
      <c r="R110" s="402"/>
    </row>
    <row r="111" spans="2:18" s="194" customFormat="1" ht="59.25" customHeight="1">
      <c r="B111" s="528"/>
      <c r="C111" s="528"/>
      <c r="D111" s="528"/>
      <c r="E111" s="821"/>
      <c r="F111" s="821"/>
      <c r="G111" s="439"/>
      <c r="H111" s="506"/>
      <c r="I111" s="118"/>
      <c r="J111" s="119"/>
      <c r="K111" s="119"/>
      <c r="L111" s="403"/>
      <c r="M111" s="554"/>
      <c r="N111" s="421"/>
      <c r="O111" s="566"/>
      <c r="P111" s="420"/>
      <c r="Q111" s="402"/>
      <c r="R111" s="402"/>
    </row>
    <row r="112" spans="2:18" s="194" customFormat="1" ht="63" customHeight="1">
      <c r="B112" s="528"/>
      <c r="C112" s="528"/>
      <c r="D112" s="528"/>
      <c r="E112" s="821"/>
      <c r="F112" s="821"/>
      <c r="G112" s="439"/>
      <c r="H112" s="506"/>
      <c r="I112" s="118"/>
      <c r="J112" s="119"/>
      <c r="K112" s="119"/>
      <c r="L112" s="403"/>
      <c r="M112" s="554"/>
      <c r="N112" s="421"/>
      <c r="O112" s="566"/>
      <c r="P112" s="420"/>
      <c r="Q112" s="402"/>
      <c r="R112" s="402"/>
    </row>
    <row r="113" spans="2:18" s="194" customFormat="1" ht="80.25" customHeight="1">
      <c r="B113" s="528"/>
      <c r="C113" s="528"/>
      <c r="D113" s="528"/>
      <c r="E113" s="821"/>
      <c r="F113" s="821"/>
      <c r="G113" s="439"/>
      <c r="H113" s="506"/>
      <c r="I113" s="118"/>
      <c r="J113" s="98"/>
      <c r="K113" s="98"/>
      <c r="L113" s="403"/>
      <c r="M113" s="554"/>
      <c r="N113" s="421"/>
      <c r="O113" s="566"/>
      <c r="P113" s="420"/>
      <c r="Q113" s="402"/>
      <c r="R113" s="402"/>
    </row>
    <row r="114" spans="2:18" s="194" customFormat="1" ht="47.25" customHeight="1">
      <c r="B114" s="528"/>
      <c r="C114" s="528"/>
      <c r="D114" s="528"/>
      <c r="E114" s="821"/>
      <c r="F114" s="821"/>
      <c r="G114" s="439"/>
      <c r="H114" s="506"/>
      <c r="I114" s="118"/>
      <c r="J114" s="98"/>
      <c r="K114" s="98"/>
      <c r="L114" s="421"/>
      <c r="M114" s="565"/>
      <c r="N114" s="421"/>
      <c r="O114" s="566"/>
      <c r="P114" s="420"/>
      <c r="Q114" s="402"/>
      <c r="R114" s="402"/>
    </row>
    <row r="115" spans="2:18" s="194" customFormat="1" ht="55.5" customHeight="1">
      <c r="B115" s="528"/>
      <c r="C115" s="528"/>
      <c r="D115" s="528"/>
      <c r="E115" s="821"/>
      <c r="F115" s="821"/>
      <c r="G115" s="439"/>
      <c r="H115" s="506"/>
      <c r="I115" s="118"/>
      <c r="J115" s="119"/>
      <c r="K115" s="119"/>
      <c r="L115" s="403"/>
      <c r="M115" s="554"/>
      <c r="N115" s="421"/>
      <c r="O115" s="566"/>
      <c r="P115" s="420"/>
      <c r="Q115" s="402"/>
      <c r="R115" s="402"/>
    </row>
    <row r="116" spans="2:18" s="194" customFormat="1" ht="46.5" customHeight="1">
      <c r="B116" s="528"/>
      <c r="C116" s="528"/>
      <c r="D116" s="528"/>
      <c r="E116" s="821"/>
      <c r="F116" s="821"/>
      <c r="G116" s="439"/>
      <c r="H116" s="506"/>
      <c r="I116" s="118"/>
      <c r="J116" s="98"/>
      <c r="K116" s="98"/>
      <c r="L116" s="403"/>
      <c r="M116" s="554"/>
      <c r="N116" s="421"/>
      <c r="O116" s="566"/>
      <c r="P116" s="420"/>
      <c r="Q116" s="402"/>
      <c r="R116" s="402"/>
    </row>
    <row r="117" spans="2:18" s="194" customFormat="1" ht="56.25" customHeight="1">
      <c r="B117" s="528"/>
      <c r="C117" s="528"/>
      <c r="D117" s="528"/>
      <c r="E117" s="821"/>
      <c r="F117" s="821"/>
      <c r="G117" s="439"/>
      <c r="H117" s="506"/>
      <c r="I117" s="118"/>
      <c r="J117" s="98"/>
      <c r="K117" s="98"/>
      <c r="L117" s="403"/>
      <c r="M117" s="554"/>
      <c r="N117" s="421"/>
      <c r="O117" s="566"/>
      <c r="P117" s="420"/>
      <c r="Q117" s="402"/>
      <c r="R117" s="402"/>
    </row>
    <row r="118" spans="2:18" s="194" customFormat="1" ht="46.5" customHeight="1">
      <c r="B118" s="528"/>
      <c r="C118" s="528"/>
      <c r="D118" s="528"/>
      <c r="E118" s="821"/>
      <c r="F118" s="821"/>
      <c r="G118" s="439"/>
      <c r="H118" s="506"/>
      <c r="I118" s="118"/>
      <c r="J118" s="98"/>
      <c r="K118" s="98"/>
      <c r="L118" s="403"/>
      <c r="M118" s="554"/>
      <c r="N118" s="421"/>
      <c r="O118" s="566"/>
      <c r="P118" s="420"/>
      <c r="Q118" s="402"/>
      <c r="R118" s="402"/>
    </row>
    <row r="119" spans="2:18" s="194" customFormat="1" ht="58.5" customHeight="1">
      <c r="B119" s="528"/>
      <c r="C119" s="528"/>
      <c r="D119" s="528"/>
      <c r="E119" s="821"/>
      <c r="F119" s="821"/>
      <c r="G119" s="439"/>
      <c r="H119" s="506"/>
      <c r="I119" s="118"/>
      <c r="J119" s="98"/>
      <c r="K119" s="98"/>
      <c r="L119" s="403"/>
      <c r="M119" s="554"/>
      <c r="N119" s="421"/>
      <c r="O119" s="566"/>
      <c r="P119" s="420"/>
      <c r="Q119" s="402"/>
      <c r="R119" s="402"/>
    </row>
    <row r="120" spans="2:18" s="194" customFormat="1" ht="62.25" customHeight="1">
      <c r="B120" s="528"/>
      <c r="C120" s="528"/>
      <c r="D120" s="528"/>
      <c r="E120" s="821"/>
      <c r="F120" s="821"/>
      <c r="G120" s="439"/>
      <c r="H120" s="506"/>
      <c r="I120" s="118"/>
      <c r="J120" s="98"/>
      <c r="K120" s="98"/>
      <c r="L120" s="421"/>
      <c r="M120" s="565"/>
      <c r="N120" s="421"/>
      <c r="O120" s="566"/>
      <c r="P120" s="420"/>
      <c r="Q120" s="402"/>
      <c r="R120" s="402"/>
    </row>
    <row r="121" spans="2:18" s="194" customFormat="1" ht="62.25" customHeight="1">
      <c r="B121" s="528"/>
      <c r="C121" s="528"/>
      <c r="D121" s="528"/>
      <c r="E121" s="821"/>
      <c r="F121" s="821"/>
      <c r="G121" s="439"/>
      <c r="H121" s="506"/>
      <c r="I121" s="118"/>
      <c r="J121" s="98"/>
      <c r="K121" s="98"/>
      <c r="L121" s="403"/>
      <c r="M121" s="554"/>
      <c r="N121" s="421"/>
      <c r="O121" s="566"/>
      <c r="P121" s="420"/>
      <c r="Q121" s="402"/>
      <c r="R121" s="402"/>
    </row>
    <row r="122" spans="2:18" s="194" customFormat="1" ht="57.75" customHeight="1">
      <c r="B122" s="528"/>
      <c r="C122" s="528"/>
      <c r="D122" s="528"/>
      <c r="E122" s="821"/>
      <c r="F122" s="821"/>
      <c r="G122" s="439"/>
      <c r="H122" s="506"/>
      <c r="I122" s="118"/>
      <c r="J122" s="98"/>
      <c r="K122" s="98"/>
      <c r="L122" s="421"/>
      <c r="M122" s="565"/>
      <c r="N122" s="421"/>
      <c r="O122" s="576"/>
      <c r="P122" s="420"/>
      <c r="Q122" s="402"/>
      <c r="R122" s="402"/>
    </row>
    <row r="123" spans="2:18" s="194" customFormat="1" ht="45.75" customHeight="1">
      <c r="B123" s="528"/>
      <c r="C123" s="528"/>
      <c r="D123" s="528"/>
      <c r="E123" s="821"/>
      <c r="F123" s="821"/>
      <c r="G123" s="439"/>
      <c r="H123" s="506"/>
      <c r="I123" s="118"/>
      <c r="J123" s="98"/>
      <c r="K123" s="98"/>
      <c r="L123" s="421"/>
      <c r="M123" s="565"/>
      <c r="N123" s="421"/>
      <c r="O123" s="566"/>
      <c r="P123" s="420"/>
      <c r="Q123" s="402"/>
      <c r="R123" s="402"/>
    </row>
    <row r="124" spans="2:18" s="194" customFormat="1" ht="66" customHeight="1">
      <c r="B124" s="528"/>
      <c r="C124" s="528"/>
      <c r="D124" s="528"/>
      <c r="E124" s="821"/>
      <c r="F124" s="821"/>
      <c r="G124" s="439"/>
      <c r="H124" s="506"/>
      <c r="I124" s="118"/>
      <c r="J124" s="98"/>
      <c r="K124" s="98"/>
      <c r="L124" s="403"/>
      <c r="M124" s="554"/>
      <c r="N124" s="421"/>
      <c r="O124" s="566"/>
      <c r="P124" s="420"/>
      <c r="Q124" s="402"/>
      <c r="R124" s="402"/>
    </row>
    <row r="125" spans="2:18" s="194" customFormat="1" ht="35.25" customHeight="1">
      <c r="B125" s="528"/>
      <c r="C125" s="528"/>
      <c r="D125" s="528"/>
      <c r="E125" s="821"/>
      <c r="F125" s="821"/>
      <c r="G125" s="439"/>
      <c r="H125" s="506"/>
      <c r="I125" s="118"/>
      <c r="J125" s="98"/>
      <c r="K125" s="98"/>
      <c r="L125" s="403"/>
      <c r="M125" s="554"/>
      <c r="N125" s="421"/>
      <c r="O125" s="566"/>
      <c r="P125" s="420"/>
      <c r="Q125" s="402"/>
      <c r="R125" s="402"/>
    </row>
    <row r="126" spans="2:18" s="194" customFormat="1" ht="40.5" customHeight="1">
      <c r="B126" s="528"/>
      <c r="C126" s="528"/>
      <c r="D126" s="528"/>
      <c r="E126" s="821"/>
      <c r="F126" s="821"/>
      <c r="G126" s="439"/>
      <c r="H126" s="506"/>
      <c r="I126" s="118"/>
      <c r="J126" s="98"/>
      <c r="K126" s="98"/>
      <c r="L126" s="403"/>
      <c r="M126" s="554"/>
      <c r="N126" s="421"/>
      <c r="O126" s="566"/>
      <c r="P126" s="420"/>
      <c r="Q126" s="402"/>
      <c r="R126" s="402"/>
    </row>
    <row r="127" spans="2:18" s="194" customFormat="1" ht="38.25" customHeight="1">
      <c r="B127" s="528"/>
      <c r="C127" s="528"/>
      <c r="D127" s="528"/>
      <c r="E127" s="821"/>
      <c r="F127" s="821"/>
      <c r="G127" s="439"/>
      <c r="H127" s="506"/>
      <c r="I127" s="118"/>
      <c r="J127" s="98"/>
      <c r="K127" s="98"/>
      <c r="L127" s="403"/>
      <c r="M127" s="554"/>
      <c r="N127" s="421"/>
      <c r="O127" s="566"/>
      <c r="P127" s="420"/>
      <c r="Q127" s="402"/>
      <c r="R127" s="402"/>
    </row>
    <row r="128" spans="2:18" s="194" customFormat="1" ht="79.5" customHeight="1">
      <c r="B128" s="528"/>
      <c r="C128" s="528"/>
      <c r="D128" s="528"/>
      <c r="E128" s="821"/>
      <c r="F128" s="821"/>
      <c r="G128" s="439"/>
      <c r="H128" s="506"/>
      <c r="I128" s="118"/>
      <c r="J128" s="98"/>
      <c r="K128" s="98"/>
      <c r="L128" s="403"/>
      <c r="M128" s="554"/>
      <c r="N128" s="421"/>
      <c r="O128" s="566"/>
      <c r="P128" s="420"/>
      <c r="Q128" s="402"/>
      <c r="R128" s="402"/>
    </row>
    <row r="129" spans="2:18" s="194" customFormat="1" ht="44.25" customHeight="1">
      <c r="B129" s="528"/>
      <c r="C129" s="528"/>
      <c r="D129" s="528"/>
      <c r="E129" s="829"/>
      <c r="F129" s="829"/>
      <c r="G129" s="440"/>
      <c r="H129" s="444"/>
      <c r="I129" s="119"/>
      <c r="J129" s="98"/>
      <c r="K129" s="98"/>
      <c r="L129" s="403"/>
      <c r="M129" s="554"/>
      <c r="N129" s="421"/>
      <c r="O129" s="566"/>
      <c r="P129" s="420"/>
      <c r="Q129" s="402"/>
      <c r="R129" s="402"/>
    </row>
    <row r="130" spans="2:18" s="194" customFormat="1" ht="59.25" customHeight="1">
      <c r="B130" s="528"/>
      <c r="C130" s="528"/>
      <c r="D130" s="528"/>
      <c r="E130" s="829"/>
      <c r="F130" s="829"/>
      <c r="G130" s="440"/>
      <c r="H130" s="444"/>
      <c r="I130" s="119"/>
      <c r="J130" s="98"/>
      <c r="K130" s="98"/>
      <c r="L130" s="403"/>
      <c r="M130" s="554"/>
      <c r="N130" s="421"/>
      <c r="O130" s="566"/>
      <c r="P130" s="420"/>
      <c r="Q130" s="402"/>
      <c r="R130" s="402"/>
    </row>
    <row r="131" spans="2:18" s="194" customFormat="1" ht="57" customHeight="1">
      <c r="B131" s="528"/>
      <c r="C131" s="528"/>
      <c r="D131" s="528"/>
      <c r="E131" s="829"/>
      <c r="F131" s="829"/>
      <c r="G131" s="440"/>
      <c r="H131" s="444"/>
      <c r="I131" s="119"/>
      <c r="J131" s="98"/>
      <c r="K131" s="98"/>
      <c r="L131" s="403"/>
      <c r="M131" s="554"/>
      <c r="N131" s="421"/>
      <c r="O131" s="566"/>
      <c r="P131" s="420"/>
      <c r="Q131" s="402"/>
      <c r="R131" s="402"/>
    </row>
    <row r="132" spans="2:18" s="194" customFormat="1" ht="71.25" customHeight="1">
      <c r="B132" s="528"/>
      <c r="C132" s="528"/>
      <c r="D132" s="528"/>
      <c r="E132" s="829"/>
      <c r="F132" s="829"/>
      <c r="G132" s="440"/>
      <c r="H132" s="444"/>
      <c r="I132" s="119"/>
      <c r="J132" s="98"/>
      <c r="K132" s="98"/>
      <c r="L132" s="403"/>
      <c r="M132" s="554"/>
      <c r="N132" s="421"/>
      <c r="O132" s="566"/>
      <c r="P132" s="420"/>
      <c r="Q132" s="402"/>
      <c r="R132" s="402"/>
    </row>
    <row r="133" spans="2:18" s="194" customFormat="1" ht="42" customHeight="1">
      <c r="B133" s="528"/>
      <c r="C133" s="528"/>
      <c r="D133" s="528"/>
      <c r="E133" s="829"/>
      <c r="F133" s="829"/>
      <c r="G133" s="440"/>
      <c r="H133" s="444"/>
      <c r="I133" s="119"/>
      <c r="J133" s="98"/>
      <c r="K133" s="98"/>
      <c r="L133" s="403"/>
      <c r="M133" s="554"/>
      <c r="N133" s="421"/>
      <c r="O133" s="566"/>
      <c r="P133" s="420"/>
      <c r="Q133" s="402"/>
      <c r="R133" s="402"/>
    </row>
    <row r="134" spans="2:18" s="194" customFormat="1" ht="45" customHeight="1">
      <c r="B134" s="528"/>
      <c r="C134" s="528"/>
      <c r="D134" s="528"/>
      <c r="E134" s="821"/>
      <c r="F134" s="821"/>
      <c r="G134" s="439"/>
      <c r="H134" s="506"/>
      <c r="I134" s="118"/>
      <c r="J134" s="98"/>
      <c r="K134" s="98"/>
      <c r="L134" s="403"/>
      <c r="M134" s="554"/>
      <c r="N134" s="421"/>
      <c r="O134" s="566"/>
      <c r="P134" s="420"/>
      <c r="Q134" s="402"/>
      <c r="R134" s="402"/>
    </row>
    <row r="135" spans="2:18" s="194" customFormat="1" ht="42" customHeight="1">
      <c r="B135" s="528"/>
      <c r="C135" s="528"/>
      <c r="D135" s="528"/>
      <c r="E135" s="821"/>
      <c r="F135" s="821"/>
      <c r="G135" s="439"/>
      <c r="H135" s="506"/>
      <c r="I135" s="118"/>
      <c r="J135" s="98"/>
      <c r="K135" s="98"/>
      <c r="L135" s="403"/>
      <c r="M135" s="554"/>
      <c r="N135" s="421"/>
      <c r="O135" s="566"/>
      <c r="P135" s="420"/>
      <c r="Q135" s="402"/>
      <c r="R135" s="402"/>
    </row>
    <row r="136" spans="2:18" s="194" customFormat="1" ht="54.75" customHeight="1">
      <c r="B136" s="528"/>
      <c r="C136" s="528"/>
      <c r="D136" s="528"/>
      <c r="E136" s="829"/>
      <c r="F136" s="829"/>
      <c r="G136" s="440"/>
      <c r="H136" s="444"/>
      <c r="I136" s="119"/>
      <c r="J136" s="98"/>
      <c r="K136" s="98"/>
      <c r="L136" s="403"/>
      <c r="M136" s="554"/>
      <c r="N136" s="421"/>
      <c r="O136" s="566"/>
      <c r="P136" s="420"/>
      <c r="Q136" s="402"/>
      <c r="R136" s="402"/>
    </row>
    <row r="137" spans="2:18" s="194" customFormat="1" ht="42" customHeight="1">
      <c r="B137" s="528"/>
      <c r="C137" s="528"/>
      <c r="D137" s="528"/>
      <c r="E137" s="829"/>
      <c r="F137" s="829"/>
      <c r="G137" s="440"/>
      <c r="H137" s="444"/>
      <c r="I137" s="119"/>
      <c r="J137" s="98"/>
      <c r="K137" s="98"/>
      <c r="L137" s="403"/>
      <c r="M137" s="554"/>
      <c r="N137" s="421"/>
      <c r="O137" s="566"/>
      <c r="P137" s="420"/>
      <c r="Q137" s="402"/>
      <c r="R137" s="402"/>
    </row>
    <row r="138" spans="2:18" s="194" customFormat="1" ht="57.75" customHeight="1">
      <c r="B138" s="528"/>
      <c r="C138" s="528"/>
      <c r="D138" s="528"/>
      <c r="E138" s="829"/>
      <c r="F138" s="829"/>
      <c r="G138" s="440"/>
      <c r="H138" s="444"/>
      <c r="I138" s="119"/>
      <c r="J138" s="98"/>
      <c r="K138" s="98"/>
      <c r="L138" s="403"/>
      <c r="M138" s="554"/>
      <c r="N138" s="421"/>
      <c r="O138" s="566"/>
      <c r="P138" s="420"/>
      <c r="Q138" s="402"/>
      <c r="R138" s="402"/>
    </row>
    <row r="139" spans="2:18" s="194" customFormat="1" ht="50.25" customHeight="1">
      <c r="B139" s="528"/>
      <c r="C139" s="528"/>
      <c r="D139" s="528"/>
      <c r="E139" s="829"/>
      <c r="F139" s="829"/>
      <c r="G139" s="440"/>
      <c r="H139" s="444"/>
      <c r="I139" s="119"/>
      <c r="J139" s="98"/>
      <c r="K139" s="98"/>
      <c r="L139" s="403"/>
      <c r="M139" s="554"/>
      <c r="N139" s="421"/>
      <c r="O139" s="566"/>
      <c r="P139" s="420"/>
      <c r="Q139" s="402"/>
      <c r="R139" s="402"/>
    </row>
    <row r="140" spans="2:18" s="194" customFormat="1" ht="50.25" customHeight="1">
      <c r="B140" s="528"/>
      <c r="C140" s="528"/>
      <c r="D140" s="528"/>
      <c r="E140" s="829"/>
      <c r="F140" s="829"/>
      <c r="G140" s="440"/>
      <c r="H140" s="444"/>
      <c r="I140" s="119"/>
      <c r="J140" s="98"/>
      <c r="K140" s="98"/>
      <c r="L140" s="403"/>
      <c r="M140" s="554"/>
      <c r="N140" s="421"/>
      <c r="O140" s="566"/>
      <c r="P140" s="420"/>
      <c r="Q140" s="402"/>
      <c r="R140" s="402"/>
    </row>
    <row r="141" spans="2:18" s="194" customFormat="1" ht="50.25" customHeight="1">
      <c r="B141" s="528"/>
      <c r="C141" s="528"/>
      <c r="D141" s="528"/>
      <c r="E141" s="831"/>
      <c r="F141" s="831"/>
      <c r="G141" s="443"/>
      <c r="H141" s="443"/>
      <c r="I141" s="119"/>
      <c r="J141" s="98"/>
      <c r="K141" s="98"/>
      <c r="L141" s="403"/>
      <c r="M141" s="554"/>
      <c r="N141" s="421"/>
      <c r="O141" s="566"/>
      <c r="P141" s="420"/>
      <c r="Q141" s="402"/>
      <c r="R141" s="402"/>
    </row>
    <row r="142" spans="2:18" s="194" customFormat="1" ht="50.25" customHeight="1">
      <c r="B142" s="528"/>
      <c r="C142" s="528"/>
      <c r="D142" s="528"/>
      <c r="E142" s="831"/>
      <c r="F142" s="831"/>
      <c r="G142" s="443"/>
      <c r="H142" s="443"/>
      <c r="I142" s="119"/>
      <c r="J142" s="98"/>
      <c r="K142" s="98"/>
      <c r="L142" s="403"/>
      <c r="M142" s="554"/>
      <c r="N142" s="421"/>
      <c r="O142" s="566"/>
      <c r="P142" s="420"/>
      <c r="Q142" s="402"/>
      <c r="R142" s="402"/>
    </row>
    <row r="143" spans="2:18" s="194" customFormat="1" ht="50.25" customHeight="1">
      <c r="B143" s="528"/>
      <c r="C143" s="528"/>
      <c r="D143" s="528"/>
      <c r="E143" s="831"/>
      <c r="F143" s="831"/>
      <c r="G143" s="443"/>
      <c r="H143" s="443"/>
      <c r="I143" s="119"/>
      <c r="J143" s="98"/>
      <c r="K143" s="98"/>
      <c r="L143" s="403"/>
      <c r="M143" s="554"/>
      <c r="N143" s="421"/>
      <c r="O143" s="566"/>
      <c r="P143" s="420"/>
      <c r="Q143" s="402"/>
      <c r="R143" s="402"/>
    </row>
    <row r="144" spans="2:18" s="194" customFormat="1" ht="50.25" customHeight="1">
      <c r="B144" s="528"/>
      <c r="C144" s="528"/>
      <c r="D144" s="528"/>
      <c r="E144" s="832"/>
      <c r="F144" s="832"/>
      <c r="G144" s="444"/>
      <c r="H144" s="444"/>
      <c r="I144" s="119"/>
      <c r="J144" s="98"/>
      <c r="K144" s="98"/>
      <c r="L144" s="403"/>
      <c r="M144" s="554"/>
      <c r="N144" s="421"/>
      <c r="O144" s="576"/>
      <c r="P144" s="420"/>
      <c r="Q144" s="402"/>
      <c r="R144" s="402"/>
    </row>
    <row r="145" spans="2:18" s="194" customFormat="1" ht="20.25">
      <c r="B145" s="528"/>
      <c r="C145" s="528"/>
      <c r="D145" s="528"/>
      <c r="E145" s="830"/>
      <c r="F145" s="830"/>
      <c r="G145" s="442"/>
      <c r="H145" s="442"/>
      <c r="I145" s="119"/>
      <c r="J145" s="119"/>
      <c r="K145" s="119"/>
      <c r="L145" s="421"/>
      <c r="M145" s="565"/>
      <c r="N145" s="421"/>
      <c r="O145" s="565"/>
      <c r="P145" s="420"/>
      <c r="Q145" s="402"/>
      <c r="R145" s="402"/>
    </row>
    <row r="146" spans="5:16" ht="20.25">
      <c r="E146" s="88"/>
      <c r="F146" s="278"/>
      <c r="G146" s="278"/>
      <c r="H146" s="507"/>
      <c r="I146" s="257"/>
      <c r="J146" s="88"/>
      <c r="K146" s="88"/>
      <c r="L146" s="416"/>
      <c r="M146" s="566"/>
      <c r="N146" s="416"/>
      <c r="O146" s="566"/>
      <c r="P146" s="420"/>
    </row>
    <row r="147" spans="5:16" ht="20.25">
      <c r="E147" s="88"/>
      <c r="F147" s="278"/>
      <c r="G147" s="278"/>
      <c r="H147" s="507"/>
      <c r="I147" s="88"/>
      <c r="J147" s="88"/>
      <c r="K147" s="88"/>
      <c r="L147" s="416"/>
      <c r="M147" s="566"/>
      <c r="N147" s="416"/>
      <c r="O147" s="566"/>
      <c r="P147" s="416"/>
    </row>
    <row r="148" spans="5:16" ht="20.25">
      <c r="E148" s="88"/>
      <c r="F148" s="278"/>
      <c r="G148" s="278"/>
      <c r="H148" s="507"/>
      <c r="I148" s="88"/>
      <c r="J148" s="88"/>
      <c r="K148" s="88"/>
      <c r="L148" s="416"/>
      <c r="M148" s="566"/>
      <c r="N148" s="416"/>
      <c r="O148" s="566"/>
      <c r="P148" s="416"/>
    </row>
    <row r="149" spans="5:16" ht="20.25">
      <c r="E149" s="88"/>
      <c r="F149" s="278"/>
      <c r="G149" s="278"/>
      <c r="H149" s="507"/>
      <c r="I149" s="88"/>
      <c r="J149" s="88"/>
      <c r="K149" s="88"/>
      <c r="L149" s="416"/>
      <c r="M149" s="566"/>
      <c r="N149" s="416"/>
      <c r="O149" s="566"/>
      <c r="P149" s="416"/>
    </row>
    <row r="150" spans="5:16" ht="20.25">
      <c r="E150" s="88"/>
      <c r="F150" s="278"/>
      <c r="G150" s="278"/>
      <c r="H150" s="507"/>
      <c r="I150" s="88"/>
      <c r="J150" s="88"/>
      <c r="K150" s="88"/>
      <c r="L150" s="416"/>
      <c r="M150" s="566"/>
      <c r="N150" s="416"/>
      <c r="O150" s="566"/>
      <c r="P150" s="416"/>
    </row>
    <row r="151" spans="5:16" ht="20.25">
      <c r="E151" s="88"/>
      <c r="F151" s="278"/>
      <c r="G151" s="278"/>
      <c r="H151" s="507"/>
      <c r="I151" s="88"/>
      <c r="J151" s="88"/>
      <c r="K151" s="88"/>
      <c r="L151" s="416"/>
      <c r="M151" s="566"/>
      <c r="N151" s="416"/>
      <c r="O151" s="566"/>
      <c r="P151" s="416"/>
    </row>
    <row r="152" spans="5:16" ht="20.25">
      <c r="E152" s="88"/>
      <c r="F152" s="278"/>
      <c r="G152" s="278"/>
      <c r="H152" s="507"/>
      <c r="I152" s="88"/>
      <c r="J152" s="88"/>
      <c r="K152" s="88"/>
      <c r="L152" s="416"/>
      <c r="M152" s="566"/>
      <c r="N152" s="416"/>
      <c r="O152" s="566"/>
      <c r="P152" s="416"/>
    </row>
    <row r="153" spans="5:16" ht="20.25">
      <c r="E153" s="88"/>
      <c r="F153" s="278"/>
      <c r="G153" s="278"/>
      <c r="H153" s="507"/>
      <c r="I153" s="88"/>
      <c r="J153" s="88"/>
      <c r="K153" s="88"/>
      <c r="L153" s="416"/>
      <c r="M153" s="566"/>
      <c r="N153" s="416"/>
      <c r="O153" s="566"/>
      <c r="P153" s="416"/>
    </row>
    <row r="154" spans="5:16" ht="20.25">
      <c r="E154" s="88"/>
      <c r="F154" s="278"/>
      <c r="G154" s="278"/>
      <c r="H154" s="507"/>
      <c r="I154" s="88"/>
      <c r="J154" s="88"/>
      <c r="K154" s="88"/>
      <c r="L154" s="416"/>
      <c r="M154" s="566"/>
      <c r="N154" s="416"/>
      <c r="O154" s="566"/>
      <c r="P154" s="416"/>
    </row>
    <row r="155" spans="5:16" ht="20.25">
      <c r="E155" s="88"/>
      <c r="F155" s="278"/>
      <c r="G155" s="278"/>
      <c r="H155" s="507"/>
      <c r="I155" s="88"/>
      <c r="J155" s="88"/>
      <c r="K155" s="88"/>
      <c r="L155" s="416"/>
      <c r="M155" s="566"/>
      <c r="N155" s="416"/>
      <c r="O155" s="566"/>
      <c r="P155" s="416"/>
    </row>
    <row r="156" spans="5:16" ht="20.25">
      <c r="E156" s="88"/>
      <c r="F156" s="278"/>
      <c r="G156" s="278"/>
      <c r="H156" s="507"/>
      <c r="I156" s="88"/>
      <c r="J156" s="88"/>
      <c r="K156" s="88"/>
      <c r="L156" s="416"/>
      <c r="M156" s="566"/>
      <c r="N156" s="416"/>
      <c r="O156" s="566"/>
      <c r="P156" s="416"/>
    </row>
    <row r="157" spans="5:16" ht="20.25">
      <c r="E157" s="88"/>
      <c r="F157" s="278"/>
      <c r="G157" s="278"/>
      <c r="H157" s="507"/>
      <c r="I157" s="88"/>
      <c r="J157" s="88"/>
      <c r="K157" s="88"/>
      <c r="L157" s="416"/>
      <c r="M157" s="566"/>
      <c r="N157" s="416"/>
      <c r="O157" s="566"/>
      <c r="P157" s="416"/>
    </row>
  </sheetData>
  <sheetProtection/>
  <mergeCells count="86">
    <mergeCell ref="B4:F4"/>
    <mergeCell ref="C14:C15"/>
    <mergeCell ref="B14:B15"/>
    <mergeCell ref="J7:K8"/>
    <mergeCell ref="B7:B9"/>
    <mergeCell ref="G7:G9"/>
    <mergeCell ref="C7:C9"/>
    <mergeCell ref="H7:H9"/>
    <mergeCell ref="I7:I9"/>
    <mergeCell ref="F7:F9"/>
    <mergeCell ref="D14:D15"/>
    <mergeCell ref="E7:E9"/>
    <mergeCell ref="D7:D9"/>
    <mergeCell ref="E14:E15"/>
    <mergeCell ref="O14:O15"/>
    <mergeCell ref="L14:L15"/>
    <mergeCell ref="N14:N15"/>
    <mergeCell ref="M14:M15"/>
    <mergeCell ref="E104:F104"/>
    <mergeCell ref="E83:E90"/>
    <mergeCell ref="E91:E99"/>
    <mergeCell ref="E139:F139"/>
    <mergeCell ref="E132:F132"/>
    <mergeCell ref="E130:F130"/>
    <mergeCell ref="E138:F138"/>
    <mergeCell ref="E136:F136"/>
    <mergeCell ref="E134:F134"/>
    <mergeCell ref="E135:F135"/>
    <mergeCell ref="E133:F133"/>
    <mergeCell ref="E137:F137"/>
    <mergeCell ref="I1:K1"/>
    <mergeCell ref="I2:K2"/>
    <mergeCell ref="I3:K3"/>
    <mergeCell ref="I5:K5"/>
    <mergeCell ref="E111:F111"/>
    <mergeCell ref="I103:K103"/>
    <mergeCell ref="E116:F116"/>
    <mergeCell ref="E131:F131"/>
    <mergeCell ref="E145:F145"/>
    <mergeCell ref="E143:F143"/>
    <mergeCell ref="E140:F140"/>
    <mergeCell ref="E141:F141"/>
    <mergeCell ref="E142:F142"/>
    <mergeCell ref="E144:F144"/>
    <mergeCell ref="E127:F127"/>
    <mergeCell ref="E129:F129"/>
    <mergeCell ref="E125:F125"/>
    <mergeCell ref="E128:F128"/>
    <mergeCell ref="E108:F108"/>
    <mergeCell ref="E126:F126"/>
    <mergeCell ref="E118:F118"/>
    <mergeCell ref="E120:F120"/>
    <mergeCell ref="E124:F124"/>
    <mergeCell ref="E110:F110"/>
    <mergeCell ref="E117:F117"/>
    <mergeCell ref="E122:F122"/>
    <mergeCell ref="E121:F121"/>
    <mergeCell ref="E123:F123"/>
    <mergeCell ref="D91:D99"/>
    <mergeCell ref="B91:B99"/>
    <mergeCell ref="B83:B90"/>
    <mergeCell ref="C91:C99"/>
    <mergeCell ref="B57:B58"/>
    <mergeCell ref="D83:D90"/>
    <mergeCell ref="C83:C90"/>
    <mergeCell ref="D57:D58"/>
    <mergeCell ref="C57:C58"/>
    <mergeCell ref="L34:L38"/>
    <mergeCell ref="B34:B38"/>
    <mergeCell ref="C34:C38"/>
    <mergeCell ref="E119:F119"/>
    <mergeCell ref="E114:F114"/>
    <mergeCell ref="E113:F113"/>
    <mergeCell ref="E112:F112"/>
    <mergeCell ref="E115:F115"/>
    <mergeCell ref="E109:F109"/>
    <mergeCell ref="E57:E58"/>
    <mergeCell ref="L26:L27"/>
    <mergeCell ref="N26:N27"/>
    <mergeCell ref="E26:E27"/>
    <mergeCell ref="M26:M27"/>
    <mergeCell ref="D34:D38"/>
    <mergeCell ref="E34:E38"/>
    <mergeCell ref="B26:B27"/>
    <mergeCell ref="C26:C27"/>
    <mergeCell ref="D26:D27"/>
  </mergeCells>
  <conditionalFormatting sqref="A45:A47 C45:D47 D42 D50:D51">
    <cfRule type="expression" priority="10" dxfId="1" stopIfTrue="1">
      <formula>LEN(A42)&gt;6</formula>
    </cfRule>
  </conditionalFormatting>
  <printOptions/>
  <pageMargins left="0.7086614173228347" right="0.7086614173228347" top="0.43" bottom="0.52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view="pageBreakPreview" zoomScale="60" zoomScaleNormal="75" zoomScalePageLayoutView="0" workbookViewId="0" topLeftCell="D3">
      <selection activeCell="H21" sqref="H21"/>
    </sheetView>
  </sheetViews>
  <sheetFormatPr defaultColWidth="9.00390625" defaultRowHeight="12.75"/>
  <cols>
    <col min="1" max="1" width="14.625" style="0" customWidth="1"/>
    <col min="2" max="3" width="14.375" style="0" customWidth="1"/>
    <col min="4" max="4" width="58.25390625" style="0" customWidth="1"/>
    <col min="5" max="5" width="46.25390625" style="0" customWidth="1"/>
    <col min="6" max="6" width="16.75390625" style="0" customWidth="1"/>
    <col min="7" max="7" width="15.625" style="0" customWidth="1"/>
    <col min="8" max="8" width="21.00390625" style="0" customWidth="1"/>
    <col min="9" max="9" width="18.125" style="0" customWidth="1"/>
  </cols>
  <sheetData>
    <row r="1" spans="1:9" ht="18.75">
      <c r="A1" s="658"/>
      <c r="B1" s="658"/>
      <c r="C1" s="658"/>
      <c r="D1" s="658"/>
      <c r="E1" s="658"/>
      <c r="F1" s="658"/>
      <c r="H1" s="86" t="s">
        <v>651</v>
      </c>
      <c r="I1" s="86"/>
    </row>
    <row r="2" spans="1:9" ht="18.75">
      <c r="A2" s="658"/>
      <c r="B2" s="658"/>
      <c r="C2" s="658"/>
      <c r="D2" s="658"/>
      <c r="E2" s="658"/>
      <c r="F2" s="658"/>
      <c r="H2" s="86" t="s">
        <v>761</v>
      </c>
      <c r="I2" s="86"/>
    </row>
    <row r="3" spans="1:9" ht="18.75">
      <c r="A3" s="658"/>
      <c r="B3" s="658"/>
      <c r="C3" s="658"/>
      <c r="D3" s="658"/>
      <c r="E3" s="658"/>
      <c r="F3" s="658"/>
      <c r="H3" s="86" t="s">
        <v>652</v>
      </c>
      <c r="I3" s="86"/>
    </row>
    <row r="4" spans="1:9" ht="12.75">
      <c r="A4" s="659"/>
      <c r="B4" s="659"/>
      <c r="C4" s="659"/>
      <c r="D4" s="659"/>
      <c r="E4" s="659"/>
      <c r="F4" s="659"/>
      <c r="G4" s="660"/>
      <c r="H4" s="660"/>
      <c r="I4" s="661"/>
    </row>
    <row r="5" spans="1:9" ht="18.75">
      <c r="A5" s="858" t="s">
        <v>640</v>
      </c>
      <c r="B5" s="858"/>
      <c r="C5" s="858"/>
      <c r="D5" s="858"/>
      <c r="E5" s="858"/>
      <c r="F5" s="858"/>
      <c r="G5" s="858"/>
      <c r="H5" s="858"/>
      <c r="I5" s="858"/>
    </row>
    <row r="6" spans="1:9" ht="18">
      <c r="A6" s="662"/>
      <c r="B6" s="662"/>
      <c r="C6" s="662"/>
      <c r="D6" s="662"/>
      <c r="E6" s="662"/>
      <c r="F6" s="662"/>
      <c r="G6" s="662"/>
      <c r="I6" s="663" t="s">
        <v>871</v>
      </c>
    </row>
    <row r="7" spans="1:9" ht="12.75">
      <c r="A7" s="859" t="s">
        <v>641</v>
      </c>
      <c r="B7" s="859" t="s">
        <v>545</v>
      </c>
      <c r="C7" s="859" t="s">
        <v>170</v>
      </c>
      <c r="D7" s="861" t="s">
        <v>642</v>
      </c>
      <c r="E7" s="863" t="s">
        <v>643</v>
      </c>
      <c r="F7" s="863" t="s">
        <v>644</v>
      </c>
      <c r="G7" s="863" t="s">
        <v>645</v>
      </c>
      <c r="H7" s="863" t="s">
        <v>646</v>
      </c>
      <c r="I7" s="865" t="s">
        <v>647</v>
      </c>
    </row>
    <row r="8" spans="1:9" ht="120" customHeight="1">
      <c r="A8" s="860"/>
      <c r="B8" s="860"/>
      <c r="C8" s="860"/>
      <c r="D8" s="862"/>
      <c r="E8" s="864"/>
      <c r="F8" s="864"/>
      <c r="G8" s="864"/>
      <c r="H8" s="864"/>
      <c r="I8" s="865"/>
    </row>
    <row r="9" spans="1:9" ht="15.75">
      <c r="A9" s="664" t="s">
        <v>648</v>
      </c>
      <c r="B9" s="664" t="s">
        <v>649</v>
      </c>
      <c r="C9" s="664" t="s">
        <v>650</v>
      </c>
      <c r="D9" s="623">
        <v>4</v>
      </c>
      <c r="E9" s="621">
        <v>5</v>
      </c>
      <c r="F9" s="621">
        <v>6</v>
      </c>
      <c r="G9" s="621">
        <v>7</v>
      </c>
      <c r="H9" s="621">
        <v>8</v>
      </c>
      <c r="I9" s="667">
        <v>9</v>
      </c>
    </row>
    <row r="10" spans="1:9" ht="54.75" customHeight="1">
      <c r="A10" s="292" t="s">
        <v>339</v>
      </c>
      <c r="B10" s="668"/>
      <c r="C10" s="668"/>
      <c r="D10" s="669" t="s">
        <v>742</v>
      </c>
      <c r="E10" s="668"/>
      <c r="F10" s="670"/>
      <c r="G10" s="670">
        <f>G11</f>
        <v>500000</v>
      </c>
      <c r="H10" s="670">
        <f>H11</f>
        <v>500000</v>
      </c>
      <c r="I10" s="670"/>
    </row>
    <row r="11" spans="1:9" ht="51.75" customHeight="1">
      <c r="A11" s="292" t="s">
        <v>340</v>
      </c>
      <c r="B11" s="671"/>
      <c r="C11" s="671"/>
      <c r="D11" s="669" t="s">
        <v>742</v>
      </c>
      <c r="E11" s="668"/>
      <c r="F11" s="670"/>
      <c r="G11" s="670">
        <f>G12</f>
        <v>500000</v>
      </c>
      <c r="H11" s="670">
        <f>H12</f>
        <v>500000</v>
      </c>
      <c r="I11" s="670"/>
    </row>
    <row r="12" spans="1:9" ht="63">
      <c r="A12" s="471" t="s">
        <v>634</v>
      </c>
      <c r="B12" s="672" t="s">
        <v>635</v>
      </c>
      <c r="C12" s="672" t="s">
        <v>376</v>
      </c>
      <c r="D12" s="673" t="s">
        <v>636</v>
      </c>
      <c r="E12" s="678" t="s">
        <v>653</v>
      </c>
      <c r="F12" s="676"/>
      <c r="G12" s="677">
        <v>500000</v>
      </c>
      <c r="H12" s="677">
        <v>500000</v>
      </c>
      <c r="I12" s="676"/>
    </row>
    <row r="13" spans="1:9" ht="15.75">
      <c r="A13" s="665" t="s">
        <v>162</v>
      </c>
      <c r="B13" s="665" t="s">
        <v>162</v>
      </c>
      <c r="C13" s="665" t="s">
        <v>162</v>
      </c>
      <c r="D13" s="666" t="s">
        <v>619</v>
      </c>
      <c r="E13" s="674" t="s">
        <v>162</v>
      </c>
      <c r="F13" s="674" t="s">
        <v>162</v>
      </c>
      <c r="G13" s="675" t="s">
        <v>162</v>
      </c>
      <c r="H13" s="675">
        <f>H12</f>
        <v>500000</v>
      </c>
      <c r="I13" s="675" t="s">
        <v>162</v>
      </c>
    </row>
    <row r="14" spans="2:9" ht="28.5" customHeight="1">
      <c r="B14" s="320"/>
      <c r="C14" s="320"/>
      <c r="D14" s="320"/>
      <c r="E14" s="320"/>
      <c r="F14" s="320"/>
      <c r="G14" s="320"/>
      <c r="H14" s="320"/>
      <c r="I14" s="320"/>
    </row>
    <row r="15" spans="2:10" ht="18.75">
      <c r="B15" s="320"/>
      <c r="C15" s="320"/>
      <c r="D15" s="173" t="s">
        <v>4</v>
      </c>
      <c r="E15" s="193"/>
      <c r="F15" s="193"/>
      <c r="G15" s="504"/>
      <c r="H15" s="840" t="s">
        <v>434</v>
      </c>
      <c r="I15" s="841"/>
      <c r="J15" s="841"/>
    </row>
  </sheetData>
  <sheetProtection/>
  <mergeCells count="11">
    <mergeCell ref="I7:I8"/>
    <mergeCell ref="H15:J15"/>
    <mergeCell ref="A5:I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67"/>
  <sheetViews>
    <sheetView showZeros="0" view="pageBreakPreview" zoomScale="75" zoomScaleNormal="85" zoomScaleSheetLayoutView="75" zoomScalePageLayoutView="0" workbookViewId="0" topLeftCell="A1">
      <pane xSplit="2" ySplit="9" topLeftCell="C66" activePane="bottomRight" state="frozen"/>
      <selection pane="topLeft" activeCell="B114" sqref="B114"/>
      <selection pane="topRight" activeCell="B114" sqref="B114"/>
      <selection pane="bottomLeft" activeCell="B114" sqref="B114"/>
      <selection pane="bottomRight" activeCell="D4" sqref="D4"/>
    </sheetView>
  </sheetViews>
  <sheetFormatPr defaultColWidth="9.00390625" defaultRowHeight="12.75"/>
  <cols>
    <col min="1" max="1" width="12.00390625" style="3" customWidth="1"/>
    <col min="2" max="2" width="55.125" style="3" customWidth="1"/>
    <col min="3" max="3" width="16.375" style="3" customWidth="1"/>
    <col min="4" max="4" width="16.75390625" style="3" customWidth="1"/>
    <col min="5" max="5" width="15.125" style="3" customWidth="1"/>
    <col min="6" max="6" width="17.375" style="3" customWidth="1"/>
    <col min="7" max="7" width="9.25390625" style="3" bestFit="1" customWidth="1"/>
    <col min="8" max="8" width="15.375" style="3" customWidth="1"/>
    <col min="9" max="9" width="10.125" style="3" customWidth="1"/>
    <col min="10" max="10" width="12.00390625" style="3" customWidth="1"/>
    <col min="11" max="11" width="15.25390625" style="3" customWidth="1"/>
    <col min="12" max="12" width="13.375" style="3" customWidth="1"/>
    <col min="13" max="13" width="10.125" style="3" customWidth="1"/>
    <col min="14" max="14" width="16.75390625" style="3" customWidth="1"/>
    <col min="15" max="19" width="10.125" style="3" customWidth="1"/>
    <col min="20" max="16384" width="9.125" style="3" customWidth="1"/>
  </cols>
  <sheetData>
    <row r="1" spans="4:6" ht="15.75">
      <c r="D1" s="866" t="s">
        <v>301</v>
      </c>
      <c r="E1" s="710"/>
      <c r="F1" s="710"/>
    </row>
    <row r="2" spans="4:6" ht="16.5" customHeight="1">
      <c r="D2" s="867" t="s">
        <v>101</v>
      </c>
      <c r="E2" s="710"/>
      <c r="F2" s="710"/>
    </row>
    <row r="3" spans="4:8" ht="15.75">
      <c r="D3" s="868" t="s">
        <v>655</v>
      </c>
      <c r="E3" s="712"/>
      <c r="F3" s="712"/>
      <c r="H3" s="48"/>
    </row>
    <row r="4" spans="4:8" ht="15.75">
      <c r="D4" s="2"/>
      <c r="E4" s="1"/>
      <c r="F4" s="1"/>
      <c r="H4" s="48"/>
    </row>
    <row r="5" spans="1:6" ht="18.75">
      <c r="A5" s="872" t="s">
        <v>161</v>
      </c>
      <c r="B5" s="872"/>
      <c r="C5" s="872"/>
      <c r="D5" s="872"/>
      <c r="E5" s="872"/>
      <c r="F5" s="872"/>
    </row>
    <row r="6" ht="15.75">
      <c r="F6" s="4" t="s">
        <v>302</v>
      </c>
    </row>
    <row r="7" spans="1:19" s="10" customFormat="1" ht="16.5">
      <c r="A7" s="873" t="s">
        <v>247</v>
      </c>
      <c r="B7" s="873" t="s">
        <v>138</v>
      </c>
      <c r="C7" s="873" t="s">
        <v>160</v>
      </c>
      <c r="D7" s="873" t="s">
        <v>283</v>
      </c>
      <c r="E7" s="875" t="s">
        <v>861</v>
      </c>
      <c r="F7" s="876"/>
      <c r="H7" s="869" t="s">
        <v>522</v>
      </c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1"/>
    </row>
    <row r="8" spans="1:19" s="10" customFormat="1" ht="47.25">
      <c r="A8" s="874"/>
      <c r="B8" s="874"/>
      <c r="C8" s="874"/>
      <c r="D8" s="874"/>
      <c r="E8" s="138" t="s">
        <v>160</v>
      </c>
      <c r="F8" s="138" t="s">
        <v>159</v>
      </c>
      <c r="H8" s="9" t="s">
        <v>538</v>
      </c>
      <c r="I8" s="39"/>
      <c r="J8" s="39"/>
      <c r="K8" s="39"/>
      <c r="L8" s="39"/>
      <c r="M8" s="39"/>
      <c r="N8" s="39"/>
      <c r="O8" s="39"/>
      <c r="P8" s="9"/>
      <c r="Q8" s="9"/>
      <c r="R8" s="9"/>
      <c r="S8" s="9"/>
    </row>
    <row r="9" spans="1:19" s="5" customFormat="1" ht="16.5">
      <c r="A9" s="9">
        <v>1</v>
      </c>
      <c r="B9" s="9">
        <f>A9+1</f>
        <v>2</v>
      </c>
      <c r="C9" s="9"/>
      <c r="D9" s="9">
        <f>B9+1</f>
        <v>3</v>
      </c>
      <c r="E9" s="9">
        <f>D9+1</f>
        <v>4</v>
      </c>
      <c r="F9" s="9">
        <f>E9+1</f>
        <v>5</v>
      </c>
      <c r="H9" s="9" t="s">
        <v>303</v>
      </c>
      <c r="I9" s="9" t="s">
        <v>303</v>
      </c>
      <c r="J9" s="9" t="s">
        <v>303</v>
      </c>
      <c r="K9" s="9" t="s">
        <v>303</v>
      </c>
      <c r="L9" s="9" t="s">
        <v>303</v>
      </c>
      <c r="M9" s="9" t="s">
        <v>303</v>
      </c>
      <c r="N9" s="9" t="s">
        <v>303</v>
      </c>
      <c r="O9" s="9" t="s">
        <v>303</v>
      </c>
      <c r="P9" s="9" t="s">
        <v>303</v>
      </c>
      <c r="Q9" s="9" t="s">
        <v>303</v>
      </c>
      <c r="R9" s="9" t="s">
        <v>303</v>
      </c>
      <c r="S9" s="9" t="s">
        <v>303</v>
      </c>
    </row>
    <row r="10" spans="1:19" s="13" customFormat="1" ht="27" customHeight="1">
      <c r="A10" s="349" t="s">
        <v>300</v>
      </c>
      <c r="B10" s="350" t="s">
        <v>304</v>
      </c>
      <c r="C10" s="326">
        <f>D10+E10</f>
        <v>85270400</v>
      </c>
      <c r="D10" s="327">
        <f aca="true" t="shared" si="0" ref="D10:D42">SUM(H10:S10)</f>
        <v>85270400</v>
      </c>
      <c r="E10" s="327">
        <f>E11+E28+E38</f>
        <v>0</v>
      </c>
      <c r="F10" s="327">
        <f>F11+F28+F38</f>
        <v>0</v>
      </c>
      <c r="H10" s="12">
        <f>H11+H28+H38</f>
        <v>85270400</v>
      </c>
      <c r="I10" s="12">
        <f aca="true" t="shared" si="1" ref="I10:S10">I11+I28+I38</f>
        <v>0</v>
      </c>
      <c r="J10" s="47">
        <f t="shared" si="1"/>
        <v>0</v>
      </c>
      <c r="K10" s="47">
        <f t="shared" si="1"/>
        <v>0</v>
      </c>
      <c r="L10" s="47">
        <f t="shared" si="1"/>
        <v>0</v>
      </c>
      <c r="M10" s="12">
        <f>M11+M28+M38</f>
        <v>0</v>
      </c>
      <c r="N10" s="47">
        <f>N11+N28+N38</f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</row>
    <row r="11" spans="1:19" s="13" customFormat="1" ht="41.25" customHeight="1">
      <c r="A11" s="349" t="s">
        <v>39</v>
      </c>
      <c r="B11" s="350" t="s">
        <v>14</v>
      </c>
      <c r="C11" s="326">
        <f>D11+E11</f>
        <v>85270400</v>
      </c>
      <c r="D11" s="327">
        <f t="shared" si="0"/>
        <v>85270400</v>
      </c>
      <c r="E11" s="327">
        <f>E12+E25</f>
        <v>0</v>
      </c>
      <c r="F11" s="327">
        <f>F12+F25</f>
        <v>0</v>
      </c>
      <c r="H11" s="12">
        <f aca="true" t="shared" si="2" ref="H11:S11">H12+H25</f>
        <v>85270400</v>
      </c>
      <c r="I11" s="12">
        <f t="shared" si="2"/>
        <v>0</v>
      </c>
      <c r="J11" s="47">
        <f t="shared" si="2"/>
        <v>0</v>
      </c>
      <c r="K11" s="47">
        <f>K12+K25</f>
        <v>0</v>
      </c>
      <c r="L11" s="47">
        <f>L12+L25</f>
        <v>0</v>
      </c>
      <c r="M11" s="12">
        <f>M12+M25</f>
        <v>0</v>
      </c>
      <c r="N11" s="47">
        <f>N12+N25</f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</row>
    <row r="12" spans="1:19" s="15" customFormat="1" ht="20.25" customHeight="1">
      <c r="A12" s="351" t="s">
        <v>41</v>
      </c>
      <c r="B12" s="348" t="s">
        <v>503</v>
      </c>
      <c r="C12" s="251">
        <f>D12+E12</f>
        <v>85258900</v>
      </c>
      <c r="D12" s="330">
        <f t="shared" si="0"/>
        <v>85258900</v>
      </c>
      <c r="E12" s="330">
        <f>SUM(E13:E20)</f>
        <v>0</v>
      </c>
      <c r="F12" s="330">
        <f>SUM(F13:F20)</f>
        <v>0</v>
      </c>
      <c r="H12" s="14">
        <f aca="true" t="shared" si="3" ref="H12:M12">SUM(H13:H24)</f>
        <v>85258900</v>
      </c>
      <c r="I12" s="14">
        <f t="shared" si="3"/>
        <v>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14">
        <f t="shared" si="3"/>
        <v>0</v>
      </c>
      <c r="N12" s="51">
        <f aca="true" t="shared" si="4" ref="N12:S12">SUM(N13:N20)</f>
        <v>0</v>
      </c>
      <c r="O12" s="14">
        <f t="shared" si="4"/>
        <v>0</v>
      </c>
      <c r="P12" s="14">
        <f t="shared" si="4"/>
        <v>0</v>
      </c>
      <c r="Q12" s="14">
        <f t="shared" si="4"/>
        <v>0</v>
      </c>
      <c r="R12" s="14">
        <f t="shared" si="4"/>
        <v>0</v>
      </c>
      <c r="S12" s="14">
        <f t="shared" si="4"/>
        <v>0</v>
      </c>
    </row>
    <row r="13" spans="1:19" s="17" customFormat="1" ht="53.25" customHeight="1">
      <c r="A13" s="352">
        <v>11010100</v>
      </c>
      <c r="B13" s="353" t="s">
        <v>349</v>
      </c>
      <c r="C13" s="332">
        <f>D13+E13</f>
        <v>58863800</v>
      </c>
      <c r="D13" s="330">
        <f>SUM(H13:S13)</f>
        <v>58863800</v>
      </c>
      <c r="E13" s="330"/>
      <c r="F13" s="330"/>
      <c r="H13" s="16">
        <v>58863800</v>
      </c>
      <c r="I13" s="16">
        <f>-22449400+22449400</f>
        <v>0</v>
      </c>
      <c r="J13" s="81"/>
      <c r="K13" s="81"/>
      <c r="L13" s="81"/>
      <c r="M13" s="16"/>
      <c r="N13" s="81"/>
      <c r="O13" s="16"/>
      <c r="P13" s="16"/>
      <c r="Q13" s="16"/>
      <c r="R13" s="16"/>
      <c r="S13" s="16"/>
    </row>
    <row r="14" spans="1:19" s="17" customFormat="1" ht="84" customHeight="1">
      <c r="A14" s="352">
        <v>11010200</v>
      </c>
      <c r="B14" s="353" t="s">
        <v>475</v>
      </c>
      <c r="C14" s="332">
        <f>D14+E14</f>
        <v>23067300</v>
      </c>
      <c r="D14" s="330">
        <f t="shared" si="0"/>
        <v>23067300</v>
      </c>
      <c r="E14" s="330"/>
      <c r="F14" s="330"/>
      <c r="H14" s="16">
        <v>23067300</v>
      </c>
      <c r="I14" s="16"/>
      <c r="J14" s="81"/>
      <c r="K14" s="81"/>
      <c r="L14" s="81"/>
      <c r="M14" s="16"/>
      <c r="N14" s="81"/>
      <c r="O14" s="16"/>
      <c r="P14" s="16"/>
      <c r="Q14" s="16"/>
      <c r="R14" s="16"/>
      <c r="S14" s="16"/>
    </row>
    <row r="15" spans="1:19" s="17" customFormat="1" ht="17.25" customHeight="1" hidden="1">
      <c r="A15" s="352">
        <v>11010300</v>
      </c>
      <c r="B15" s="353" t="s">
        <v>227</v>
      </c>
      <c r="C15" s="331"/>
      <c r="D15" s="334">
        <f t="shared" si="0"/>
        <v>0</v>
      </c>
      <c r="E15" s="334"/>
      <c r="F15" s="334"/>
      <c r="H15" s="16">
        <v>0</v>
      </c>
      <c r="I15" s="16"/>
      <c r="J15" s="81"/>
      <c r="K15" s="81"/>
      <c r="L15" s="81"/>
      <c r="M15" s="16"/>
      <c r="N15" s="81"/>
      <c r="O15" s="16"/>
      <c r="P15" s="16"/>
      <c r="Q15" s="16"/>
      <c r="R15" s="16"/>
      <c r="S15" s="16"/>
    </row>
    <row r="16" spans="1:19" s="17" customFormat="1" ht="54" customHeight="1">
      <c r="A16" s="352" t="s">
        <v>494</v>
      </c>
      <c r="B16" s="353" t="s">
        <v>495</v>
      </c>
      <c r="C16" s="332">
        <f>D16+E16</f>
        <v>3200000</v>
      </c>
      <c r="D16" s="330">
        <f t="shared" si="0"/>
        <v>3200000</v>
      </c>
      <c r="E16" s="330"/>
      <c r="F16" s="330"/>
      <c r="H16" s="16">
        <v>3200000</v>
      </c>
      <c r="I16" s="16"/>
      <c r="J16" s="81"/>
      <c r="K16" s="81"/>
      <c r="L16" s="81"/>
      <c r="M16" s="16"/>
      <c r="N16" s="81"/>
      <c r="O16" s="16"/>
      <c r="P16" s="16"/>
      <c r="Q16" s="16"/>
      <c r="R16" s="16"/>
      <c r="S16" s="16"/>
    </row>
    <row r="17" spans="1:19" s="17" customFormat="1" ht="51" customHeight="1">
      <c r="A17" s="352" t="s">
        <v>147</v>
      </c>
      <c r="B17" s="353" t="s">
        <v>137</v>
      </c>
      <c r="C17" s="332">
        <f>D17+E17</f>
        <v>127800</v>
      </c>
      <c r="D17" s="330">
        <f t="shared" si="0"/>
        <v>127800</v>
      </c>
      <c r="E17" s="330"/>
      <c r="F17" s="330"/>
      <c r="H17" s="16">
        <v>127800</v>
      </c>
      <c r="I17" s="16"/>
      <c r="J17" s="81"/>
      <c r="K17" s="81"/>
      <c r="L17" s="81"/>
      <c r="M17" s="16"/>
      <c r="N17" s="81"/>
      <c r="O17" s="16"/>
      <c r="P17" s="16"/>
      <c r="Q17" s="16"/>
      <c r="R17" s="16"/>
      <c r="S17" s="16"/>
    </row>
    <row r="18" spans="1:19" s="17" customFormat="1" ht="23.25" customHeight="1" hidden="1">
      <c r="A18" s="352" t="s">
        <v>729</v>
      </c>
      <c r="B18" s="353" t="s">
        <v>730</v>
      </c>
      <c r="C18" s="331"/>
      <c r="D18" s="334">
        <f t="shared" si="0"/>
        <v>0</v>
      </c>
      <c r="E18" s="334"/>
      <c r="F18" s="334"/>
      <c r="H18" s="16"/>
      <c r="I18" s="16"/>
      <c r="J18" s="81"/>
      <c r="K18" s="81"/>
      <c r="L18" s="81"/>
      <c r="M18" s="16"/>
      <c r="N18" s="81"/>
      <c r="O18" s="16"/>
      <c r="P18" s="16"/>
      <c r="Q18" s="16"/>
      <c r="R18" s="16"/>
      <c r="S18" s="16"/>
    </row>
    <row r="19" spans="1:19" s="17" customFormat="1" ht="24.75" customHeight="1" hidden="1">
      <c r="A19" s="352" t="s">
        <v>103</v>
      </c>
      <c r="B19" s="353" t="s">
        <v>228</v>
      </c>
      <c r="C19" s="331"/>
      <c r="D19" s="334">
        <f t="shared" si="0"/>
        <v>0</v>
      </c>
      <c r="E19" s="334"/>
      <c r="F19" s="334"/>
      <c r="H19" s="16"/>
      <c r="I19" s="16"/>
      <c r="J19" s="81"/>
      <c r="K19" s="81"/>
      <c r="L19" s="81"/>
      <c r="M19" s="16"/>
      <c r="N19" s="81"/>
      <c r="O19" s="16"/>
      <c r="P19" s="16"/>
      <c r="Q19" s="16"/>
      <c r="R19" s="16"/>
      <c r="S19" s="16"/>
    </row>
    <row r="20" spans="1:19" s="17" customFormat="1" ht="23.25" customHeight="1" hidden="1">
      <c r="A20" s="352" t="s">
        <v>281</v>
      </c>
      <c r="B20" s="353" t="s">
        <v>282</v>
      </c>
      <c r="C20" s="331"/>
      <c r="D20" s="334">
        <f t="shared" si="0"/>
        <v>0</v>
      </c>
      <c r="E20" s="334"/>
      <c r="F20" s="334"/>
      <c r="H20" s="16"/>
      <c r="I20" s="16"/>
      <c r="J20" s="81"/>
      <c r="K20" s="81"/>
      <c r="L20" s="81"/>
      <c r="M20" s="16"/>
      <c r="N20" s="81"/>
      <c r="O20" s="16"/>
      <c r="P20" s="16"/>
      <c r="Q20" s="16"/>
      <c r="R20" s="16"/>
      <c r="S20" s="16"/>
    </row>
    <row r="21" spans="1:19" s="17" customFormat="1" ht="26.25" customHeight="1" hidden="1">
      <c r="A21" s="352" t="s">
        <v>715</v>
      </c>
      <c r="B21" s="353" t="s">
        <v>229</v>
      </c>
      <c r="C21" s="331"/>
      <c r="D21" s="334">
        <f t="shared" si="0"/>
        <v>0</v>
      </c>
      <c r="E21" s="334"/>
      <c r="F21" s="334"/>
      <c r="H21" s="16"/>
      <c r="I21" s="16"/>
      <c r="J21" s="81"/>
      <c r="K21" s="81"/>
      <c r="L21" s="81"/>
      <c r="M21" s="16"/>
      <c r="N21" s="81"/>
      <c r="O21" s="16"/>
      <c r="P21" s="16"/>
      <c r="Q21" s="16"/>
      <c r="R21" s="16"/>
      <c r="S21" s="16"/>
    </row>
    <row r="22" spans="1:19" s="17" customFormat="1" ht="27" customHeight="1" hidden="1">
      <c r="A22" s="352">
        <v>11011300</v>
      </c>
      <c r="B22" s="353" t="s">
        <v>518</v>
      </c>
      <c r="C22" s="331"/>
      <c r="D22" s="334">
        <f t="shared" si="0"/>
        <v>0</v>
      </c>
      <c r="E22" s="334"/>
      <c r="F22" s="334"/>
      <c r="H22" s="16"/>
      <c r="I22" s="16"/>
      <c r="J22" s="81"/>
      <c r="K22" s="81"/>
      <c r="L22" s="81"/>
      <c r="M22" s="16"/>
      <c r="N22" s="81"/>
      <c r="O22" s="16"/>
      <c r="P22" s="16"/>
      <c r="Q22" s="16"/>
      <c r="R22" s="16"/>
      <c r="S22" s="16"/>
    </row>
    <row r="23" spans="1:19" s="17" customFormat="1" ht="39" customHeight="1" hidden="1">
      <c r="A23" s="352" t="s">
        <v>32</v>
      </c>
      <c r="B23" s="353" t="s">
        <v>272</v>
      </c>
      <c r="C23" s="331"/>
      <c r="D23" s="334">
        <f t="shared" si="0"/>
        <v>0</v>
      </c>
      <c r="E23" s="334"/>
      <c r="F23" s="334"/>
      <c r="H23" s="16"/>
      <c r="I23" s="16"/>
      <c r="J23" s="81"/>
      <c r="K23" s="81"/>
      <c r="L23" s="81"/>
      <c r="M23" s="16"/>
      <c r="N23" s="81"/>
      <c r="O23" s="16"/>
      <c r="P23" s="16"/>
      <c r="Q23" s="16"/>
      <c r="R23" s="16"/>
      <c r="S23" s="16"/>
    </row>
    <row r="24" spans="1:19" s="17" customFormat="1" ht="31.5" customHeight="1" hidden="1">
      <c r="A24" s="352" t="s">
        <v>273</v>
      </c>
      <c r="B24" s="353" t="s">
        <v>280</v>
      </c>
      <c r="C24" s="331"/>
      <c r="D24" s="334"/>
      <c r="E24" s="334"/>
      <c r="F24" s="334"/>
      <c r="H24" s="16"/>
      <c r="I24" s="16"/>
      <c r="J24" s="81"/>
      <c r="K24" s="81"/>
      <c r="L24" s="81"/>
      <c r="M24" s="16"/>
      <c r="N24" s="81"/>
      <c r="O24" s="16"/>
      <c r="P24" s="16"/>
      <c r="Q24" s="16"/>
      <c r="R24" s="16"/>
      <c r="S24" s="16"/>
    </row>
    <row r="25" spans="1:19" s="15" customFormat="1" ht="18" customHeight="1">
      <c r="A25" s="349" t="s">
        <v>42</v>
      </c>
      <c r="B25" s="350" t="s">
        <v>123</v>
      </c>
      <c r="C25" s="326">
        <f>D25+E25</f>
        <v>11500</v>
      </c>
      <c r="D25" s="327">
        <f>SUM(H25:S25)</f>
        <v>11500</v>
      </c>
      <c r="E25" s="327">
        <f>SUM(E27:E27)</f>
        <v>0</v>
      </c>
      <c r="F25" s="327">
        <f>SUM(F27:F27)</f>
        <v>0</v>
      </c>
      <c r="H25" s="28">
        <f aca="true" t="shared" si="5" ref="H25:S25">SUM(H27:H27)</f>
        <v>11500</v>
      </c>
      <c r="I25" s="28">
        <f t="shared" si="5"/>
        <v>0</v>
      </c>
      <c r="J25" s="401">
        <f t="shared" si="5"/>
        <v>0</v>
      </c>
      <c r="K25" s="51"/>
      <c r="L25" s="51">
        <f t="shared" si="5"/>
        <v>0</v>
      </c>
      <c r="M25" s="14">
        <f t="shared" si="5"/>
        <v>0</v>
      </c>
      <c r="N25" s="51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</row>
    <row r="26" spans="1:19" s="15" customFormat="1" ht="16.5" customHeight="1" hidden="1">
      <c r="A26" s="351" t="s">
        <v>179</v>
      </c>
      <c r="B26" s="348"/>
      <c r="C26" s="329"/>
      <c r="D26" s="334"/>
      <c r="E26" s="334"/>
      <c r="F26" s="334"/>
      <c r="H26" s="27"/>
      <c r="I26" s="14"/>
      <c r="J26" s="51"/>
      <c r="K26" s="51"/>
      <c r="L26" s="51"/>
      <c r="M26" s="14"/>
      <c r="N26" s="51"/>
      <c r="O26" s="14"/>
      <c r="P26" s="14"/>
      <c r="Q26" s="14"/>
      <c r="R26" s="14"/>
      <c r="S26" s="14"/>
    </row>
    <row r="27" spans="1:19" s="17" customFormat="1" ht="38.25" customHeight="1">
      <c r="A27" s="352" t="s">
        <v>40</v>
      </c>
      <c r="B27" s="353" t="s">
        <v>140</v>
      </c>
      <c r="C27" s="332">
        <f>D27+E27</f>
        <v>11500</v>
      </c>
      <c r="D27" s="330">
        <f>SUM(H27:S27)</f>
        <v>11500</v>
      </c>
      <c r="E27" s="330"/>
      <c r="F27" s="330"/>
      <c r="H27" s="16">
        <v>11500</v>
      </c>
      <c r="I27" s="16"/>
      <c r="J27" s="81"/>
      <c r="K27" s="81"/>
      <c r="L27" s="81"/>
      <c r="M27" s="16"/>
      <c r="N27" s="81"/>
      <c r="O27" s="16"/>
      <c r="P27" s="16"/>
      <c r="Q27" s="16"/>
      <c r="R27" s="16"/>
      <c r="S27" s="16"/>
    </row>
    <row r="28" spans="1:19" s="13" customFormat="1" ht="36.75" customHeight="1" hidden="1">
      <c r="A28" s="349" t="s">
        <v>43</v>
      </c>
      <c r="B28" s="350" t="s">
        <v>238</v>
      </c>
      <c r="C28" s="328"/>
      <c r="D28" s="327">
        <f t="shared" si="0"/>
        <v>0</v>
      </c>
      <c r="E28" s="327">
        <f>E29+E32</f>
        <v>0</v>
      </c>
      <c r="F28" s="327">
        <f>F29+F32</f>
        <v>0</v>
      </c>
      <c r="H28" s="12">
        <f>H29+H32</f>
        <v>0</v>
      </c>
      <c r="I28" s="12">
        <f aca="true" t="shared" si="6" ref="I28:R28">I29+I32</f>
        <v>0</v>
      </c>
      <c r="J28" s="47">
        <f t="shared" si="6"/>
        <v>0</v>
      </c>
      <c r="K28" s="47">
        <f t="shared" si="6"/>
        <v>0</v>
      </c>
      <c r="L28" s="47">
        <f t="shared" si="6"/>
        <v>0</v>
      </c>
      <c r="M28" s="12">
        <f t="shared" si="6"/>
        <v>0</v>
      </c>
      <c r="N28" s="47">
        <f t="shared" si="6"/>
        <v>0</v>
      </c>
      <c r="O28" s="12">
        <f t="shared" si="6"/>
        <v>0</v>
      </c>
      <c r="P28" s="12">
        <f t="shared" si="6"/>
        <v>0</v>
      </c>
      <c r="Q28" s="12">
        <f t="shared" si="6"/>
        <v>0</v>
      </c>
      <c r="R28" s="12">
        <f t="shared" si="6"/>
        <v>0</v>
      </c>
      <c r="S28" s="12">
        <f>S29+S32</f>
        <v>0</v>
      </c>
    </row>
    <row r="29" spans="1:19" s="15" customFormat="1" ht="16.5" hidden="1">
      <c r="A29" s="351" t="s">
        <v>30</v>
      </c>
      <c r="B29" s="348" t="s">
        <v>141</v>
      </c>
      <c r="C29" s="329"/>
      <c r="D29" s="330">
        <f>SUM(H29:S29)</f>
        <v>0</v>
      </c>
      <c r="E29" s="330">
        <f>SUM(E30:E31)</f>
        <v>0</v>
      </c>
      <c r="F29" s="330">
        <f>SUM(F30:F31)</f>
        <v>0</v>
      </c>
      <c r="H29" s="14">
        <f>H30</f>
        <v>0</v>
      </c>
      <c r="I29" s="14">
        <f aca="true" t="shared" si="7" ref="I29:R29">SUM(I30:I31)</f>
        <v>0</v>
      </c>
      <c r="J29" s="51">
        <f t="shared" si="7"/>
        <v>0</v>
      </c>
      <c r="K29" s="51">
        <f t="shared" si="7"/>
        <v>0</v>
      </c>
      <c r="L29" s="51">
        <f>L30</f>
        <v>0</v>
      </c>
      <c r="M29" s="14">
        <f t="shared" si="7"/>
        <v>0</v>
      </c>
      <c r="N29" s="51">
        <f t="shared" si="7"/>
        <v>0</v>
      </c>
      <c r="O29" s="14">
        <f t="shared" si="7"/>
        <v>0</v>
      </c>
      <c r="P29" s="14">
        <f t="shared" si="7"/>
        <v>0</v>
      </c>
      <c r="Q29" s="14">
        <f t="shared" si="7"/>
        <v>0</v>
      </c>
      <c r="R29" s="14">
        <f t="shared" si="7"/>
        <v>0</v>
      </c>
      <c r="S29" s="14">
        <f>SUM(S30:S31)</f>
        <v>0</v>
      </c>
    </row>
    <row r="30" spans="1:19" s="17" customFormat="1" ht="30" customHeight="1" hidden="1">
      <c r="A30" s="352" t="s">
        <v>474</v>
      </c>
      <c r="B30" s="353" t="s">
        <v>35</v>
      </c>
      <c r="C30" s="331"/>
      <c r="D30" s="330">
        <f t="shared" si="0"/>
        <v>0</v>
      </c>
      <c r="E30" s="330"/>
      <c r="F30" s="330"/>
      <c r="H30" s="16">
        <v>0</v>
      </c>
      <c r="I30" s="16"/>
      <c r="J30" s="81"/>
      <c r="K30" s="81"/>
      <c r="L30" s="81"/>
      <c r="M30" s="16"/>
      <c r="N30" s="81"/>
      <c r="O30" s="16"/>
      <c r="P30" s="16"/>
      <c r="Q30" s="16"/>
      <c r="R30" s="16"/>
      <c r="S30" s="16"/>
    </row>
    <row r="31" spans="1:19" s="17" customFormat="1" ht="16.5" hidden="1">
      <c r="A31" s="352"/>
      <c r="B31" s="353"/>
      <c r="C31" s="335"/>
      <c r="D31" s="330">
        <f t="shared" si="0"/>
        <v>0</v>
      </c>
      <c r="E31" s="330"/>
      <c r="F31" s="330"/>
      <c r="H31" s="16"/>
      <c r="I31" s="16"/>
      <c r="J31" s="81"/>
      <c r="K31" s="81"/>
      <c r="L31" s="81"/>
      <c r="M31" s="16"/>
      <c r="N31" s="81"/>
      <c r="O31" s="16"/>
      <c r="P31" s="16"/>
      <c r="Q31" s="16"/>
      <c r="R31" s="16"/>
      <c r="S31" s="16"/>
    </row>
    <row r="32" spans="1:19" s="15" customFormat="1" ht="16.5" hidden="1">
      <c r="A32" s="351" t="s">
        <v>44</v>
      </c>
      <c r="B32" s="348" t="s">
        <v>124</v>
      </c>
      <c r="C32" s="329"/>
      <c r="D32" s="334">
        <f t="shared" si="0"/>
        <v>0</v>
      </c>
      <c r="E32" s="334">
        <f>SUM(E33:E37)</f>
        <v>0</v>
      </c>
      <c r="F32" s="334">
        <f>SUM(F33:F37)</f>
        <v>0</v>
      </c>
      <c r="H32" s="14">
        <f>SUM(H33:H37)</f>
        <v>0</v>
      </c>
      <c r="I32" s="14">
        <f aca="true" t="shared" si="8" ref="I32:R32">SUM(I33:I37)</f>
        <v>0</v>
      </c>
      <c r="J32" s="51">
        <f t="shared" si="8"/>
        <v>0</v>
      </c>
      <c r="K32" s="51">
        <f t="shared" si="8"/>
        <v>0</v>
      </c>
      <c r="L32" s="51">
        <f t="shared" si="8"/>
        <v>0</v>
      </c>
      <c r="M32" s="14">
        <f t="shared" si="8"/>
        <v>0</v>
      </c>
      <c r="N32" s="51">
        <f t="shared" si="8"/>
        <v>0</v>
      </c>
      <c r="O32" s="14">
        <f t="shared" si="8"/>
        <v>0</v>
      </c>
      <c r="P32" s="14">
        <f t="shared" si="8"/>
        <v>0</v>
      </c>
      <c r="Q32" s="14">
        <f t="shared" si="8"/>
        <v>0</v>
      </c>
      <c r="R32" s="14">
        <f t="shared" si="8"/>
        <v>0</v>
      </c>
      <c r="S32" s="14">
        <f>SUM(S33:S37)</f>
        <v>0</v>
      </c>
    </row>
    <row r="33" spans="1:19" s="17" customFormat="1" ht="16.5" hidden="1">
      <c r="A33" s="352" t="s">
        <v>89</v>
      </c>
      <c r="B33" s="353" t="s">
        <v>93</v>
      </c>
      <c r="C33" s="331"/>
      <c r="D33" s="334">
        <f t="shared" si="0"/>
        <v>0</v>
      </c>
      <c r="E33" s="334"/>
      <c r="F33" s="334"/>
      <c r="H33" s="16"/>
      <c r="I33" s="16"/>
      <c r="J33" s="81"/>
      <c r="K33" s="81"/>
      <c r="L33" s="81"/>
      <c r="M33" s="16"/>
      <c r="N33" s="81"/>
      <c r="O33" s="16"/>
      <c r="P33" s="16"/>
      <c r="Q33" s="16"/>
      <c r="R33" s="16"/>
      <c r="S33" s="16"/>
    </row>
    <row r="34" spans="1:19" s="17" customFormat="1" ht="0.75" customHeight="1" hidden="1">
      <c r="A34" s="352" t="s">
        <v>90</v>
      </c>
      <c r="B34" s="353" t="s">
        <v>94</v>
      </c>
      <c r="C34" s="331"/>
      <c r="D34" s="334">
        <f t="shared" si="0"/>
        <v>0</v>
      </c>
      <c r="E34" s="334"/>
      <c r="F34" s="334"/>
      <c r="H34" s="16"/>
      <c r="I34" s="16"/>
      <c r="J34" s="81"/>
      <c r="K34" s="81"/>
      <c r="L34" s="81"/>
      <c r="M34" s="16"/>
      <c r="N34" s="81"/>
      <c r="O34" s="16"/>
      <c r="P34" s="16"/>
      <c r="Q34" s="16"/>
      <c r="R34" s="16"/>
      <c r="S34" s="16"/>
    </row>
    <row r="35" spans="1:19" s="17" customFormat="1" ht="0.75" customHeight="1" hidden="1">
      <c r="A35" s="352" t="s">
        <v>91</v>
      </c>
      <c r="B35" s="353" t="s">
        <v>95</v>
      </c>
      <c r="C35" s="331"/>
      <c r="D35" s="334">
        <f t="shared" si="0"/>
        <v>0</v>
      </c>
      <c r="E35" s="334"/>
      <c r="F35" s="334"/>
      <c r="H35" s="16"/>
      <c r="I35" s="16"/>
      <c r="J35" s="81"/>
      <c r="K35" s="81"/>
      <c r="L35" s="81"/>
      <c r="M35" s="16"/>
      <c r="N35" s="81"/>
      <c r="O35" s="16"/>
      <c r="P35" s="16"/>
      <c r="Q35" s="16"/>
      <c r="R35" s="16"/>
      <c r="S35" s="16"/>
    </row>
    <row r="36" spans="1:19" s="17" customFormat="1" ht="31.5" hidden="1">
      <c r="A36" s="352" t="s">
        <v>428</v>
      </c>
      <c r="B36" s="353" t="s">
        <v>401</v>
      </c>
      <c r="C36" s="331"/>
      <c r="D36" s="330">
        <f t="shared" si="0"/>
        <v>0</v>
      </c>
      <c r="E36" s="330"/>
      <c r="F36" s="330"/>
      <c r="H36" s="16"/>
      <c r="I36" s="16"/>
      <c r="J36" s="81"/>
      <c r="K36" s="81"/>
      <c r="L36" s="81"/>
      <c r="M36" s="16"/>
      <c r="N36" s="81"/>
      <c r="O36" s="16"/>
      <c r="P36" s="16"/>
      <c r="Q36" s="16"/>
      <c r="R36" s="16"/>
      <c r="S36" s="16"/>
    </row>
    <row r="37" spans="1:19" s="17" customFormat="1" ht="16.5" hidden="1">
      <c r="A37" s="352" t="s">
        <v>92</v>
      </c>
      <c r="B37" s="353" t="s">
        <v>96</v>
      </c>
      <c r="C37" s="331"/>
      <c r="D37" s="334">
        <f t="shared" si="0"/>
        <v>0</v>
      </c>
      <c r="E37" s="334"/>
      <c r="F37" s="334"/>
      <c r="H37" s="16"/>
      <c r="I37" s="16"/>
      <c r="J37" s="81"/>
      <c r="K37" s="81"/>
      <c r="L37" s="81"/>
      <c r="M37" s="16"/>
      <c r="N37" s="81"/>
      <c r="O37" s="16"/>
      <c r="P37" s="16"/>
      <c r="Q37" s="16"/>
      <c r="R37" s="16"/>
      <c r="S37" s="16"/>
    </row>
    <row r="38" spans="1:19" s="13" customFormat="1" ht="14.25" customHeight="1" hidden="1">
      <c r="A38" s="349" t="s">
        <v>45</v>
      </c>
      <c r="B38" s="350" t="s">
        <v>683</v>
      </c>
      <c r="C38" s="325"/>
      <c r="D38" s="327">
        <f t="shared" si="0"/>
        <v>0</v>
      </c>
      <c r="E38" s="327">
        <f>E39</f>
        <v>0</v>
      </c>
      <c r="F38" s="327">
        <f>F39</f>
        <v>0</v>
      </c>
      <c r="H38" s="12">
        <f aca="true" t="shared" si="9" ref="H38:S39">H39</f>
        <v>0</v>
      </c>
      <c r="I38" s="12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12">
        <f t="shared" si="9"/>
        <v>0</v>
      </c>
      <c r="N38" s="47">
        <f t="shared" si="9"/>
        <v>0</v>
      </c>
      <c r="O38" s="12">
        <f t="shared" si="9"/>
        <v>0</v>
      </c>
      <c r="P38" s="12">
        <f t="shared" si="9"/>
        <v>0</v>
      </c>
      <c r="Q38" s="12">
        <f t="shared" si="9"/>
        <v>0</v>
      </c>
      <c r="R38" s="12">
        <f t="shared" si="9"/>
        <v>0</v>
      </c>
      <c r="S38" s="12">
        <f t="shared" si="9"/>
        <v>0</v>
      </c>
    </row>
    <row r="39" spans="1:19" s="15" customFormat="1" ht="19.5" customHeight="1" hidden="1">
      <c r="A39" s="351" t="s">
        <v>682</v>
      </c>
      <c r="B39" s="348" t="s">
        <v>727</v>
      </c>
      <c r="C39" s="336"/>
      <c r="D39" s="330">
        <f t="shared" si="0"/>
        <v>0</v>
      </c>
      <c r="E39" s="330">
        <f>E40</f>
        <v>0</v>
      </c>
      <c r="F39" s="330">
        <f>F40</f>
        <v>0</v>
      </c>
      <c r="H39" s="14">
        <f t="shared" si="9"/>
        <v>0</v>
      </c>
      <c r="I39" s="14">
        <f t="shared" si="9"/>
        <v>0</v>
      </c>
      <c r="J39" s="51">
        <f t="shared" si="9"/>
        <v>0</v>
      </c>
      <c r="K39" s="51">
        <f t="shared" si="9"/>
        <v>0</v>
      </c>
      <c r="L39" s="51">
        <f t="shared" si="9"/>
        <v>0</v>
      </c>
      <c r="M39" s="14">
        <f t="shared" si="9"/>
        <v>0</v>
      </c>
      <c r="N39" s="51">
        <f t="shared" si="9"/>
        <v>0</v>
      </c>
      <c r="O39" s="14">
        <f t="shared" si="9"/>
        <v>0</v>
      </c>
      <c r="P39" s="14">
        <f t="shared" si="9"/>
        <v>0</v>
      </c>
      <c r="Q39" s="14">
        <f t="shared" si="9"/>
        <v>0</v>
      </c>
      <c r="R39" s="14">
        <f t="shared" si="9"/>
        <v>0</v>
      </c>
      <c r="S39" s="14">
        <f t="shared" si="9"/>
        <v>0</v>
      </c>
    </row>
    <row r="40" spans="1:19" s="17" customFormat="1" ht="21.75" customHeight="1" hidden="1">
      <c r="A40" s="352" t="s">
        <v>46</v>
      </c>
      <c r="B40" s="353" t="s">
        <v>61</v>
      </c>
      <c r="C40" s="335"/>
      <c r="D40" s="330">
        <f t="shared" si="0"/>
        <v>0</v>
      </c>
      <c r="E40" s="330"/>
      <c r="F40" s="330"/>
      <c r="H40" s="16"/>
      <c r="I40" s="16"/>
      <c r="J40" s="81"/>
      <c r="K40" s="81"/>
      <c r="L40" s="81"/>
      <c r="M40" s="16"/>
      <c r="N40" s="81"/>
      <c r="O40" s="16"/>
      <c r="P40" s="16"/>
      <c r="Q40" s="16"/>
      <c r="R40" s="16"/>
      <c r="S40" s="16"/>
    </row>
    <row r="41" spans="1:19" s="13" customFormat="1" ht="21.75" customHeight="1">
      <c r="A41" s="349" t="s">
        <v>47</v>
      </c>
      <c r="B41" s="350" t="s">
        <v>684</v>
      </c>
      <c r="C41" s="326">
        <f>D41+E41</f>
        <v>1861207</v>
      </c>
      <c r="D41" s="327">
        <f t="shared" si="0"/>
        <v>371900</v>
      </c>
      <c r="E41" s="327">
        <f>E42+E50+E58+E61+E64</f>
        <v>1489307</v>
      </c>
      <c r="F41" s="327">
        <f>F42+F50+F58+F61+F64</f>
        <v>0</v>
      </c>
      <c r="H41" s="12">
        <f>H42+H50+H58+H61</f>
        <v>371900</v>
      </c>
      <c r="I41" s="12">
        <f>I42+I50+I58+I61</f>
        <v>0</v>
      </c>
      <c r="J41" s="47">
        <f>J42+J50+J58+J61</f>
        <v>0</v>
      </c>
      <c r="K41" s="47">
        <f aca="true" t="shared" si="10" ref="K41:S41">K42+K50+K58+K61+K64</f>
        <v>0</v>
      </c>
      <c r="L41" s="47">
        <f t="shared" si="10"/>
        <v>0</v>
      </c>
      <c r="M41" s="12">
        <f t="shared" si="10"/>
        <v>0</v>
      </c>
      <c r="N41" s="47">
        <f t="shared" si="10"/>
        <v>0</v>
      </c>
      <c r="O41" s="12">
        <f t="shared" si="10"/>
        <v>0</v>
      </c>
      <c r="P41" s="12">
        <f t="shared" si="10"/>
        <v>0</v>
      </c>
      <c r="Q41" s="12">
        <f t="shared" si="10"/>
        <v>0</v>
      </c>
      <c r="R41" s="12">
        <f t="shared" si="10"/>
        <v>0</v>
      </c>
      <c r="S41" s="12">
        <f t="shared" si="10"/>
        <v>0</v>
      </c>
    </row>
    <row r="42" spans="1:19" s="13" customFormat="1" ht="32.25" customHeight="1">
      <c r="A42" s="349" t="s">
        <v>48</v>
      </c>
      <c r="B42" s="350" t="s">
        <v>15</v>
      </c>
      <c r="C42" s="326">
        <f aca="true" t="shared" si="11" ref="C42:C48">D42+E42</f>
        <v>1500</v>
      </c>
      <c r="D42" s="327">
        <f t="shared" si="0"/>
        <v>1500</v>
      </c>
      <c r="E42" s="327">
        <f>E45+E46+E49+E43</f>
        <v>0</v>
      </c>
      <c r="F42" s="327">
        <f>F45+F46+F49+F43</f>
        <v>0</v>
      </c>
      <c r="H42" s="12">
        <f aca="true" t="shared" si="12" ref="H42:Q42">H45+H46+H49+H44</f>
        <v>1500</v>
      </c>
      <c r="I42" s="12">
        <f>I45+I46+I49+I44</f>
        <v>0</v>
      </c>
      <c r="J42" s="47">
        <f>J45+J46+J49+J44</f>
        <v>0</v>
      </c>
      <c r="K42" s="47">
        <f t="shared" si="12"/>
        <v>0</v>
      </c>
      <c r="L42" s="47">
        <f t="shared" si="12"/>
        <v>0</v>
      </c>
      <c r="M42" s="12">
        <f t="shared" si="12"/>
        <v>0</v>
      </c>
      <c r="N42" s="47">
        <f t="shared" si="12"/>
        <v>0</v>
      </c>
      <c r="O42" s="12">
        <f t="shared" si="12"/>
        <v>0</v>
      </c>
      <c r="P42" s="12">
        <f t="shared" si="12"/>
        <v>0</v>
      </c>
      <c r="Q42" s="12">
        <f t="shared" si="12"/>
        <v>0</v>
      </c>
      <c r="R42" s="12">
        <f>R45+R46+R49</f>
        <v>0</v>
      </c>
      <c r="S42" s="12">
        <f>S45+S46+S49</f>
        <v>0</v>
      </c>
    </row>
    <row r="43" spans="1:19" s="13" customFormat="1" ht="111.75" customHeight="1">
      <c r="A43" s="349" t="s">
        <v>237</v>
      </c>
      <c r="B43" s="350" t="s">
        <v>114</v>
      </c>
      <c r="C43" s="326">
        <f t="shared" si="11"/>
        <v>1500</v>
      </c>
      <c r="D43" s="327">
        <f aca="true" t="shared" si="13" ref="D43:D48">SUM(H43:S43)</f>
        <v>1500</v>
      </c>
      <c r="E43" s="327"/>
      <c r="F43" s="327"/>
      <c r="H43" s="12">
        <f>H44</f>
        <v>1500</v>
      </c>
      <c r="I43" s="12">
        <f>I44</f>
        <v>0</v>
      </c>
      <c r="J43" s="47">
        <f>J44</f>
        <v>0</v>
      </c>
      <c r="K43" s="47"/>
      <c r="L43" s="47">
        <f>L44</f>
        <v>0</v>
      </c>
      <c r="M43" s="12"/>
      <c r="N43" s="47"/>
      <c r="O43" s="12"/>
      <c r="P43" s="12"/>
      <c r="Q43" s="12"/>
      <c r="R43" s="12"/>
      <c r="S43" s="12"/>
    </row>
    <row r="44" spans="1:19" s="45" customFormat="1" ht="51.75" customHeight="1">
      <c r="A44" s="352" t="s">
        <v>429</v>
      </c>
      <c r="B44" s="353" t="s">
        <v>299</v>
      </c>
      <c r="C44" s="332">
        <f t="shared" si="11"/>
        <v>1500</v>
      </c>
      <c r="D44" s="330">
        <f t="shared" si="13"/>
        <v>1500</v>
      </c>
      <c r="E44" s="330"/>
      <c r="F44" s="330"/>
      <c r="G44" s="17"/>
      <c r="H44" s="16">
        <v>1500</v>
      </c>
      <c r="I44" s="16"/>
      <c r="J44" s="81"/>
      <c r="K44" s="276"/>
      <c r="L44" s="81"/>
      <c r="M44" s="44"/>
      <c r="N44" s="81"/>
      <c r="O44" s="44"/>
      <c r="P44" s="44"/>
      <c r="Q44" s="44"/>
      <c r="R44" s="44"/>
      <c r="S44" s="44"/>
    </row>
    <row r="45" spans="1:19" s="17" customFormat="1" ht="39.75" customHeight="1" hidden="1">
      <c r="A45" s="352" t="s">
        <v>707</v>
      </c>
      <c r="B45" s="353" t="s">
        <v>79</v>
      </c>
      <c r="C45" s="332">
        <f t="shared" si="11"/>
        <v>0</v>
      </c>
      <c r="D45" s="330">
        <f t="shared" si="13"/>
        <v>0</v>
      </c>
      <c r="E45" s="330"/>
      <c r="F45" s="330"/>
      <c r="H45" s="70"/>
      <c r="I45" s="16"/>
      <c r="J45" s="81"/>
      <c r="K45" s="81"/>
      <c r="L45" s="81"/>
      <c r="M45" s="16"/>
      <c r="N45" s="81"/>
      <c r="O45" s="16"/>
      <c r="P45" s="16"/>
      <c r="Q45" s="16"/>
      <c r="R45" s="16"/>
      <c r="S45" s="16"/>
    </row>
    <row r="46" spans="1:19" s="15" customFormat="1" ht="36" customHeight="1" hidden="1">
      <c r="A46" s="351" t="s">
        <v>516</v>
      </c>
      <c r="B46" s="348" t="s">
        <v>517</v>
      </c>
      <c r="C46" s="332">
        <f t="shared" si="11"/>
        <v>0</v>
      </c>
      <c r="D46" s="330">
        <f t="shared" si="13"/>
        <v>0</v>
      </c>
      <c r="E46" s="330">
        <f>SUM(E47:E48)</f>
        <v>0</v>
      </c>
      <c r="F46" s="330">
        <f>SUM(F47:F48)</f>
        <v>0</v>
      </c>
      <c r="H46" s="14"/>
      <c r="I46" s="14">
        <f aca="true" t="shared" si="14" ref="I46:R46">SUM(I47:I48)</f>
        <v>0</v>
      </c>
      <c r="J46" s="51">
        <f t="shared" si="14"/>
        <v>0</v>
      </c>
      <c r="K46" s="51">
        <f t="shared" si="14"/>
        <v>0</v>
      </c>
      <c r="L46" s="51">
        <f t="shared" si="14"/>
        <v>0</v>
      </c>
      <c r="M46" s="14">
        <f t="shared" si="14"/>
        <v>0</v>
      </c>
      <c r="N46" s="51">
        <f t="shared" si="14"/>
        <v>0</v>
      </c>
      <c r="O46" s="14">
        <f t="shared" si="14"/>
        <v>0</v>
      </c>
      <c r="P46" s="14">
        <f t="shared" si="14"/>
        <v>0</v>
      </c>
      <c r="Q46" s="14">
        <f t="shared" si="14"/>
        <v>0</v>
      </c>
      <c r="R46" s="14">
        <f t="shared" si="14"/>
        <v>0</v>
      </c>
      <c r="S46" s="14">
        <f>SUM(S47:S48)</f>
        <v>0</v>
      </c>
    </row>
    <row r="47" spans="1:19" s="17" customFormat="1" ht="36.75" customHeight="1" hidden="1">
      <c r="A47" s="352"/>
      <c r="B47" s="353"/>
      <c r="C47" s="332">
        <f t="shared" si="11"/>
        <v>0</v>
      </c>
      <c r="D47" s="330">
        <f t="shared" si="13"/>
        <v>0</v>
      </c>
      <c r="E47" s="330"/>
      <c r="F47" s="330"/>
      <c r="H47" s="16"/>
      <c r="I47" s="16"/>
      <c r="J47" s="81"/>
      <c r="K47" s="81"/>
      <c r="L47" s="81"/>
      <c r="M47" s="16"/>
      <c r="N47" s="81"/>
      <c r="O47" s="16"/>
      <c r="P47" s="16"/>
      <c r="Q47" s="16"/>
      <c r="R47" s="16"/>
      <c r="S47" s="16"/>
    </row>
    <row r="48" spans="1:19" s="17" customFormat="1" ht="39.75" customHeight="1" hidden="1">
      <c r="A48" s="352"/>
      <c r="B48" s="353"/>
      <c r="C48" s="332">
        <f t="shared" si="11"/>
        <v>0</v>
      </c>
      <c r="D48" s="330">
        <f t="shared" si="13"/>
        <v>0</v>
      </c>
      <c r="E48" s="330"/>
      <c r="F48" s="330"/>
      <c r="H48" s="16"/>
      <c r="I48" s="16"/>
      <c r="J48" s="81"/>
      <c r="K48" s="81"/>
      <c r="L48" s="81"/>
      <c r="M48" s="16"/>
      <c r="N48" s="81"/>
      <c r="O48" s="16"/>
      <c r="P48" s="16"/>
      <c r="Q48" s="16"/>
      <c r="R48" s="16"/>
      <c r="S48" s="16"/>
    </row>
    <row r="49" spans="1:19" s="17" customFormat="1" ht="51" customHeight="1" hidden="1">
      <c r="A49" s="352" t="s">
        <v>18</v>
      </c>
      <c r="B49" s="353" t="s">
        <v>19</v>
      </c>
      <c r="C49" s="332">
        <f aca="true" t="shared" si="15" ref="C49:C57">D49+E49</f>
        <v>0</v>
      </c>
      <c r="D49" s="330"/>
      <c r="E49" s="330"/>
      <c r="F49" s="330"/>
      <c r="H49" s="16">
        <v>0</v>
      </c>
      <c r="I49" s="16"/>
      <c r="J49" s="81"/>
      <c r="K49" s="81"/>
      <c r="L49" s="81"/>
      <c r="M49" s="16"/>
      <c r="N49" s="81"/>
      <c r="O49" s="16"/>
      <c r="P49" s="16"/>
      <c r="Q49" s="16"/>
      <c r="R49" s="16"/>
      <c r="S49" s="16"/>
    </row>
    <row r="50" spans="1:19" s="13" customFormat="1" ht="34.5" customHeight="1">
      <c r="A50" s="349" t="s">
        <v>49</v>
      </c>
      <c r="B50" s="350" t="s">
        <v>242</v>
      </c>
      <c r="C50" s="326">
        <f t="shared" si="15"/>
        <v>310400</v>
      </c>
      <c r="D50" s="327">
        <f aca="true" t="shared" si="16" ref="D50:D61">SUM(H50:S50)</f>
        <v>310400</v>
      </c>
      <c r="E50" s="327">
        <f>E56</f>
        <v>0</v>
      </c>
      <c r="F50" s="327">
        <f>F56</f>
        <v>0</v>
      </c>
      <c r="H50" s="12">
        <f>H56+H51</f>
        <v>310400</v>
      </c>
      <c r="I50" s="12">
        <f>I56+I51</f>
        <v>0</v>
      </c>
      <c r="J50" s="47">
        <f>J56+J51</f>
        <v>0</v>
      </c>
      <c r="K50" s="47">
        <f>K56+K51</f>
        <v>0</v>
      </c>
      <c r="L50" s="47">
        <f>L51</f>
        <v>0</v>
      </c>
      <c r="M50" s="12">
        <f>M51</f>
        <v>0</v>
      </c>
      <c r="N50" s="47">
        <f>N51</f>
        <v>0</v>
      </c>
      <c r="O50" s="12">
        <f>O56</f>
        <v>0</v>
      </c>
      <c r="P50" s="12">
        <f>P56</f>
        <v>0</v>
      </c>
      <c r="Q50" s="12">
        <f>Q56</f>
        <v>0</v>
      </c>
      <c r="R50" s="12">
        <f>R56</f>
        <v>0</v>
      </c>
      <c r="S50" s="12">
        <f>S56</f>
        <v>0</v>
      </c>
    </row>
    <row r="51" spans="1:19" s="13" customFormat="1" ht="27" customHeight="1">
      <c r="A51" s="349" t="s">
        <v>453</v>
      </c>
      <c r="B51" s="350" t="s">
        <v>500</v>
      </c>
      <c r="C51" s="326">
        <f t="shared" si="15"/>
        <v>92000</v>
      </c>
      <c r="D51" s="327">
        <f>SUM(H51:S51)</f>
        <v>92000</v>
      </c>
      <c r="E51" s="327"/>
      <c r="F51" s="327"/>
      <c r="H51" s="12">
        <f>H52+H54+H55</f>
        <v>92000</v>
      </c>
      <c r="I51" s="12">
        <f>I52+I54+I55</f>
        <v>0</v>
      </c>
      <c r="J51" s="47">
        <f>J52+J54+J55</f>
        <v>0</v>
      </c>
      <c r="K51" s="47">
        <f>K52+K54+K55</f>
        <v>0</v>
      </c>
      <c r="L51" s="47">
        <f>L52+L53+L54+L55</f>
        <v>0</v>
      </c>
      <c r="M51" s="12"/>
      <c r="N51" s="47">
        <f>N52+N54+N55</f>
        <v>0</v>
      </c>
      <c r="O51" s="12"/>
      <c r="P51" s="12"/>
      <c r="Q51" s="12"/>
      <c r="R51" s="12"/>
      <c r="S51" s="12"/>
    </row>
    <row r="52" spans="1:19" s="13" customFormat="1" ht="48" customHeight="1">
      <c r="A52" s="352" t="s">
        <v>454</v>
      </c>
      <c r="B52" s="353" t="s">
        <v>389</v>
      </c>
      <c r="C52" s="251">
        <f>D52+E52</f>
        <v>23000</v>
      </c>
      <c r="D52" s="330">
        <f t="shared" si="16"/>
        <v>23000</v>
      </c>
      <c r="E52" s="327"/>
      <c r="F52" s="327"/>
      <c r="H52" s="14">
        <v>23000</v>
      </c>
      <c r="I52" s="12"/>
      <c r="J52" s="47"/>
      <c r="K52" s="47"/>
      <c r="L52" s="47"/>
      <c r="M52" s="12"/>
      <c r="N52" s="51"/>
      <c r="O52" s="12"/>
      <c r="P52" s="12"/>
      <c r="Q52" s="12"/>
      <c r="R52" s="12"/>
      <c r="S52" s="12"/>
    </row>
    <row r="53" spans="1:19" s="13" customFormat="1" ht="21.75" customHeight="1" hidden="1">
      <c r="A53" s="352" t="s">
        <v>271</v>
      </c>
      <c r="B53" s="353" t="s">
        <v>500</v>
      </c>
      <c r="C53" s="251">
        <f>D53+E53</f>
        <v>0</v>
      </c>
      <c r="D53" s="330">
        <f t="shared" si="16"/>
        <v>0</v>
      </c>
      <c r="E53" s="327"/>
      <c r="F53" s="327"/>
      <c r="H53" s="14"/>
      <c r="I53" s="12"/>
      <c r="J53" s="47"/>
      <c r="K53" s="47"/>
      <c r="L53" s="47"/>
      <c r="M53" s="12"/>
      <c r="N53" s="51"/>
      <c r="O53" s="12"/>
      <c r="P53" s="12"/>
      <c r="Q53" s="12"/>
      <c r="R53" s="12"/>
      <c r="S53" s="12"/>
    </row>
    <row r="54" spans="1:19" s="13" customFormat="1" ht="38.25" customHeight="1">
      <c r="A54" s="352" t="s">
        <v>455</v>
      </c>
      <c r="B54" s="353" t="s">
        <v>390</v>
      </c>
      <c r="C54" s="251">
        <f t="shared" si="15"/>
        <v>68700</v>
      </c>
      <c r="D54" s="330">
        <f t="shared" si="16"/>
        <v>68700</v>
      </c>
      <c r="E54" s="327"/>
      <c r="F54" s="327"/>
      <c r="H54" s="14">
        <v>68700</v>
      </c>
      <c r="I54" s="12"/>
      <c r="J54" s="47"/>
      <c r="K54" s="47"/>
      <c r="L54" s="47"/>
      <c r="M54" s="12"/>
      <c r="N54" s="51"/>
      <c r="O54" s="12"/>
      <c r="P54" s="12"/>
      <c r="Q54" s="12"/>
      <c r="R54" s="12"/>
      <c r="S54" s="12"/>
    </row>
    <row r="55" spans="1:19" s="13" customFormat="1" ht="94.5" customHeight="1">
      <c r="A55" s="352" t="s">
        <v>112</v>
      </c>
      <c r="B55" s="353" t="s">
        <v>840</v>
      </c>
      <c r="C55" s="251">
        <f t="shared" si="15"/>
        <v>300</v>
      </c>
      <c r="D55" s="330">
        <f t="shared" si="16"/>
        <v>300</v>
      </c>
      <c r="E55" s="327"/>
      <c r="F55" s="327"/>
      <c r="H55" s="14">
        <v>300</v>
      </c>
      <c r="I55" s="12"/>
      <c r="J55" s="47"/>
      <c r="K55" s="47"/>
      <c r="L55" s="47"/>
      <c r="M55" s="12"/>
      <c r="N55" s="51"/>
      <c r="O55" s="12"/>
      <c r="P55" s="12"/>
      <c r="Q55" s="12"/>
      <c r="R55" s="12"/>
      <c r="S55" s="12"/>
    </row>
    <row r="56" spans="1:19" s="13" customFormat="1" ht="48" customHeight="1">
      <c r="A56" s="349" t="s">
        <v>50</v>
      </c>
      <c r="B56" s="350" t="s">
        <v>148</v>
      </c>
      <c r="C56" s="326">
        <f t="shared" si="15"/>
        <v>218400</v>
      </c>
      <c r="D56" s="327">
        <f t="shared" si="16"/>
        <v>218400</v>
      </c>
      <c r="E56" s="327">
        <f>E57</f>
        <v>0</v>
      </c>
      <c r="F56" s="327">
        <f>F57</f>
        <v>0</v>
      </c>
      <c r="H56" s="12">
        <f>H57</f>
        <v>218400</v>
      </c>
      <c r="I56" s="12">
        <f>I57</f>
        <v>0</v>
      </c>
      <c r="J56" s="47">
        <f>J57</f>
        <v>0</v>
      </c>
      <c r="K56" s="47">
        <f aca="true" t="shared" si="17" ref="K56:S56">K57</f>
        <v>0</v>
      </c>
      <c r="L56" s="47">
        <f t="shared" si="17"/>
        <v>0</v>
      </c>
      <c r="M56" s="12">
        <f t="shared" si="17"/>
        <v>0</v>
      </c>
      <c r="N56" s="47">
        <f t="shared" si="17"/>
        <v>0</v>
      </c>
      <c r="O56" s="12">
        <f t="shared" si="17"/>
        <v>0</v>
      </c>
      <c r="P56" s="12">
        <f t="shared" si="17"/>
        <v>0</v>
      </c>
      <c r="Q56" s="12">
        <f t="shared" si="17"/>
        <v>0</v>
      </c>
      <c r="R56" s="12">
        <f t="shared" si="17"/>
        <v>0</v>
      </c>
      <c r="S56" s="12">
        <f t="shared" si="17"/>
        <v>0</v>
      </c>
    </row>
    <row r="57" spans="1:19" s="17" customFormat="1" ht="48" customHeight="1">
      <c r="A57" s="352" t="s">
        <v>694</v>
      </c>
      <c r="B57" s="353" t="s">
        <v>285</v>
      </c>
      <c r="C57" s="251">
        <f t="shared" si="15"/>
        <v>218400</v>
      </c>
      <c r="D57" s="330">
        <f t="shared" si="16"/>
        <v>218400</v>
      </c>
      <c r="E57" s="330"/>
      <c r="F57" s="330"/>
      <c r="H57" s="16">
        <v>218400</v>
      </c>
      <c r="I57" s="16"/>
      <c r="J57" s="81"/>
      <c r="K57" s="81"/>
      <c r="L57" s="81"/>
      <c r="M57" s="16"/>
      <c r="N57" s="81"/>
      <c r="O57" s="16"/>
      <c r="P57" s="16"/>
      <c r="Q57" s="16"/>
      <c r="R57" s="16"/>
      <c r="S57" s="16"/>
    </row>
    <row r="58" spans="1:19" s="13" customFormat="1" ht="16.5" hidden="1">
      <c r="A58" s="349" t="s">
        <v>51</v>
      </c>
      <c r="B58" s="350" t="s">
        <v>708</v>
      </c>
      <c r="C58" s="325"/>
      <c r="D58" s="327">
        <f t="shared" si="16"/>
        <v>0</v>
      </c>
      <c r="E58" s="327">
        <f>E59</f>
        <v>0</v>
      </c>
      <c r="F58" s="327">
        <f>F59</f>
        <v>0</v>
      </c>
      <c r="H58" s="12">
        <f aca="true" t="shared" si="18" ref="H58:S59">H59</f>
        <v>0</v>
      </c>
      <c r="I58" s="12">
        <f t="shared" si="18"/>
        <v>0</v>
      </c>
      <c r="J58" s="47">
        <f t="shared" si="18"/>
        <v>0</v>
      </c>
      <c r="K58" s="47">
        <f t="shared" si="18"/>
        <v>0</v>
      </c>
      <c r="L58" s="47">
        <f t="shared" si="18"/>
        <v>0</v>
      </c>
      <c r="M58" s="12">
        <f t="shared" si="18"/>
        <v>0</v>
      </c>
      <c r="N58" s="47">
        <f t="shared" si="18"/>
        <v>0</v>
      </c>
      <c r="O58" s="12">
        <f t="shared" si="18"/>
        <v>0</v>
      </c>
      <c r="P58" s="12">
        <f t="shared" si="18"/>
        <v>0</v>
      </c>
      <c r="Q58" s="12">
        <f t="shared" si="18"/>
        <v>0</v>
      </c>
      <c r="R58" s="12">
        <f t="shared" si="18"/>
        <v>0</v>
      </c>
      <c r="S58" s="12">
        <f t="shared" si="18"/>
        <v>0</v>
      </c>
    </row>
    <row r="59" spans="1:19" s="15" customFormat="1" ht="16.5" hidden="1">
      <c r="A59" s="351" t="s">
        <v>52</v>
      </c>
      <c r="B59" s="348" t="s">
        <v>685</v>
      </c>
      <c r="C59" s="336"/>
      <c r="D59" s="330">
        <f t="shared" si="16"/>
        <v>0</v>
      </c>
      <c r="E59" s="330">
        <f>E60</f>
        <v>0</v>
      </c>
      <c r="F59" s="330">
        <f>F60</f>
        <v>0</v>
      </c>
      <c r="H59" s="14">
        <f t="shared" si="18"/>
        <v>0</v>
      </c>
      <c r="I59" s="14">
        <f t="shared" si="18"/>
        <v>0</v>
      </c>
      <c r="J59" s="51">
        <f t="shared" si="18"/>
        <v>0</v>
      </c>
      <c r="K59" s="51">
        <f t="shared" si="18"/>
        <v>0</v>
      </c>
      <c r="L59" s="51">
        <f t="shared" si="18"/>
        <v>0</v>
      </c>
      <c r="M59" s="14">
        <f t="shared" si="18"/>
        <v>0</v>
      </c>
      <c r="N59" s="51">
        <f t="shared" si="18"/>
        <v>0</v>
      </c>
      <c r="O59" s="14">
        <f t="shared" si="18"/>
        <v>0</v>
      </c>
      <c r="P59" s="14">
        <f t="shared" si="18"/>
        <v>0</v>
      </c>
      <c r="Q59" s="14">
        <f t="shared" si="18"/>
        <v>0</v>
      </c>
      <c r="R59" s="14">
        <f t="shared" si="18"/>
        <v>0</v>
      </c>
      <c r="S59" s="14">
        <f t="shared" si="18"/>
        <v>0</v>
      </c>
    </row>
    <row r="60" spans="1:19" s="17" customFormat="1" ht="16.5" hidden="1">
      <c r="A60" s="352" t="s">
        <v>728</v>
      </c>
      <c r="B60" s="353" t="s">
        <v>685</v>
      </c>
      <c r="C60" s="335"/>
      <c r="D60" s="330">
        <f t="shared" si="16"/>
        <v>0</v>
      </c>
      <c r="E60" s="330"/>
      <c r="F60" s="330"/>
      <c r="H60" s="16"/>
      <c r="I60" s="16"/>
      <c r="J60" s="81"/>
      <c r="K60" s="81"/>
      <c r="L60" s="81"/>
      <c r="M60" s="16"/>
      <c r="N60" s="81"/>
      <c r="O60" s="16"/>
      <c r="P60" s="16"/>
      <c r="Q60" s="16"/>
      <c r="R60" s="16"/>
      <c r="S60" s="16"/>
    </row>
    <row r="61" spans="1:19" s="13" customFormat="1" ht="23.25" customHeight="1">
      <c r="A61" s="349" t="s">
        <v>53</v>
      </c>
      <c r="B61" s="350" t="s">
        <v>686</v>
      </c>
      <c r="C61" s="326">
        <f aca="true" t="shared" si="19" ref="C61:C79">D61+E61</f>
        <v>60000</v>
      </c>
      <c r="D61" s="327">
        <f t="shared" si="16"/>
        <v>60000</v>
      </c>
      <c r="E61" s="327">
        <f>E62</f>
        <v>0</v>
      </c>
      <c r="F61" s="327">
        <f>F62</f>
        <v>0</v>
      </c>
      <c r="H61" s="12">
        <f aca="true" t="shared" si="20" ref="H61:J62">H62</f>
        <v>60000</v>
      </c>
      <c r="I61" s="12">
        <f t="shared" si="20"/>
        <v>0</v>
      </c>
      <c r="J61" s="47">
        <f t="shared" si="20"/>
        <v>0</v>
      </c>
      <c r="K61" s="47">
        <f aca="true" t="shared" si="21" ref="K61:S62">K62</f>
        <v>0</v>
      </c>
      <c r="L61" s="47">
        <f t="shared" si="21"/>
        <v>0</v>
      </c>
      <c r="M61" s="12">
        <f t="shared" si="21"/>
        <v>0</v>
      </c>
      <c r="N61" s="47">
        <f t="shared" si="21"/>
        <v>0</v>
      </c>
      <c r="O61" s="12">
        <f t="shared" si="21"/>
        <v>0</v>
      </c>
      <c r="P61" s="12">
        <f t="shared" si="21"/>
        <v>0</v>
      </c>
      <c r="Q61" s="12">
        <f t="shared" si="21"/>
        <v>0</v>
      </c>
      <c r="R61" s="12">
        <f t="shared" si="21"/>
        <v>0</v>
      </c>
      <c r="S61" s="12">
        <f t="shared" si="21"/>
        <v>0</v>
      </c>
    </row>
    <row r="62" spans="1:19" s="13" customFormat="1" ht="18" customHeight="1">
      <c r="A62" s="349" t="s">
        <v>696</v>
      </c>
      <c r="B62" s="350" t="s">
        <v>236</v>
      </c>
      <c r="C62" s="326">
        <f t="shared" si="19"/>
        <v>60000</v>
      </c>
      <c r="D62" s="327">
        <f>SUM(H62:S62)</f>
        <v>60000</v>
      </c>
      <c r="E62" s="327">
        <f>E63</f>
        <v>0</v>
      </c>
      <c r="F62" s="327">
        <f>F63</f>
        <v>0</v>
      </c>
      <c r="H62" s="12">
        <f t="shared" si="20"/>
        <v>60000</v>
      </c>
      <c r="I62" s="12">
        <f t="shared" si="20"/>
        <v>0</v>
      </c>
      <c r="J62" s="47">
        <f t="shared" si="20"/>
        <v>0</v>
      </c>
      <c r="K62" s="47">
        <f t="shared" si="21"/>
        <v>0</v>
      </c>
      <c r="L62" s="47">
        <f t="shared" si="21"/>
        <v>0</v>
      </c>
      <c r="M62" s="12">
        <f t="shared" si="21"/>
        <v>0</v>
      </c>
      <c r="N62" s="47">
        <f t="shared" si="21"/>
        <v>0</v>
      </c>
      <c r="O62" s="12">
        <f t="shared" si="21"/>
        <v>0</v>
      </c>
      <c r="P62" s="12">
        <f t="shared" si="21"/>
        <v>0</v>
      </c>
      <c r="Q62" s="12">
        <f t="shared" si="21"/>
        <v>0</v>
      </c>
      <c r="R62" s="12">
        <f t="shared" si="21"/>
        <v>0</v>
      </c>
      <c r="S62" s="12">
        <f t="shared" si="21"/>
        <v>0</v>
      </c>
    </row>
    <row r="63" spans="1:19" s="15" customFormat="1" ht="18" customHeight="1">
      <c r="A63" s="352" t="s">
        <v>234</v>
      </c>
      <c r="B63" s="353" t="s">
        <v>236</v>
      </c>
      <c r="C63" s="332">
        <f t="shared" si="19"/>
        <v>60000</v>
      </c>
      <c r="D63" s="330">
        <f>SUM(H63:S63)</f>
        <v>60000</v>
      </c>
      <c r="E63" s="330"/>
      <c r="F63" s="330"/>
      <c r="H63" s="16">
        <v>60000</v>
      </c>
      <c r="I63" s="16"/>
      <c r="J63" s="81"/>
      <c r="K63" s="81"/>
      <c r="L63" s="81"/>
      <c r="M63" s="16"/>
      <c r="N63" s="81"/>
      <c r="O63" s="16"/>
      <c r="P63" s="16"/>
      <c r="Q63" s="16"/>
      <c r="R63" s="16"/>
      <c r="S63" s="16"/>
    </row>
    <row r="64" spans="1:19" s="13" customFormat="1" ht="19.5" customHeight="1">
      <c r="A64" s="349" t="s">
        <v>235</v>
      </c>
      <c r="B64" s="350" t="s">
        <v>36</v>
      </c>
      <c r="C64" s="326">
        <f t="shared" si="19"/>
        <v>1489307</v>
      </c>
      <c r="D64" s="327"/>
      <c r="E64" s="327">
        <f>E65</f>
        <v>1489307</v>
      </c>
      <c r="F64" s="327">
        <f>F65</f>
        <v>0</v>
      </c>
      <c r="H64" s="12"/>
      <c r="I64" s="12">
        <f aca="true" t="shared" si="22" ref="I64:S64">I65</f>
        <v>0</v>
      </c>
      <c r="J64" s="47">
        <f t="shared" si="22"/>
        <v>0</v>
      </c>
      <c r="K64" s="47">
        <f t="shared" si="22"/>
        <v>0</v>
      </c>
      <c r="L64" s="47">
        <f t="shared" si="22"/>
        <v>0</v>
      </c>
      <c r="M64" s="12">
        <f t="shared" si="22"/>
        <v>0</v>
      </c>
      <c r="N64" s="47">
        <f t="shared" si="22"/>
        <v>0</v>
      </c>
      <c r="O64" s="12">
        <f t="shared" si="22"/>
        <v>0</v>
      </c>
      <c r="P64" s="12">
        <f t="shared" si="22"/>
        <v>0</v>
      </c>
      <c r="Q64" s="12">
        <f t="shared" si="22"/>
        <v>0</v>
      </c>
      <c r="R64" s="12">
        <f t="shared" si="22"/>
        <v>0</v>
      </c>
      <c r="S64" s="12">
        <f t="shared" si="22"/>
        <v>0</v>
      </c>
    </row>
    <row r="65" spans="1:19" s="13" customFormat="1" ht="30.75" customHeight="1">
      <c r="A65" s="349">
        <v>25010000</v>
      </c>
      <c r="B65" s="350" t="s">
        <v>706</v>
      </c>
      <c r="C65" s="326">
        <f t="shared" si="19"/>
        <v>1489307</v>
      </c>
      <c r="D65" s="327"/>
      <c r="E65" s="327">
        <f>SUM(E66:E69)</f>
        <v>1489307</v>
      </c>
      <c r="F65" s="327">
        <f>SUM(F66:F69)</f>
        <v>0</v>
      </c>
      <c r="H65" s="12"/>
      <c r="I65" s="12">
        <f aca="true" t="shared" si="23" ref="I65:R65">SUM(I66:I69)</f>
        <v>0</v>
      </c>
      <c r="J65" s="47">
        <f t="shared" si="23"/>
        <v>0</v>
      </c>
      <c r="K65" s="47">
        <f t="shared" si="23"/>
        <v>0</v>
      </c>
      <c r="L65" s="47">
        <f t="shared" si="23"/>
        <v>0</v>
      </c>
      <c r="M65" s="12">
        <f t="shared" si="23"/>
        <v>0</v>
      </c>
      <c r="N65" s="47">
        <f t="shared" si="23"/>
        <v>0</v>
      </c>
      <c r="O65" s="12">
        <f t="shared" si="23"/>
        <v>0</v>
      </c>
      <c r="P65" s="12">
        <f t="shared" si="23"/>
        <v>0</v>
      </c>
      <c r="Q65" s="12">
        <f t="shared" si="23"/>
        <v>0</v>
      </c>
      <c r="R65" s="12">
        <f t="shared" si="23"/>
        <v>0</v>
      </c>
      <c r="S65" s="12">
        <f>SUM(S66:S69)</f>
        <v>0</v>
      </c>
    </row>
    <row r="66" spans="1:19" s="17" customFormat="1" ht="35.25" customHeight="1">
      <c r="A66" s="352">
        <v>25010100</v>
      </c>
      <c r="B66" s="353" t="s">
        <v>286</v>
      </c>
      <c r="C66" s="332">
        <f t="shared" si="19"/>
        <v>1256145</v>
      </c>
      <c r="D66" s="330"/>
      <c r="E66" s="330">
        <v>1256145</v>
      </c>
      <c r="F66" s="330"/>
      <c r="H66" s="16"/>
      <c r="I66" s="16"/>
      <c r="J66" s="81"/>
      <c r="K66" s="81"/>
      <c r="L66" s="81"/>
      <c r="M66" s="16"/>
      <c r="N66" s="81"/>
      <c r="O66" s="16"/>
      <c r="P66" s="16"/>
      <c r="Q66" s="16"/>
      <c r="R66" s="16"/>
      <c r="S66" s="16"/>
    </row>
    <row r="67" spans="1:19" s="17" customFormat="1" ht="33" customHeight="1">
      <c r="A67" s="352">
        <v>25010200</v>
      </c>
      <c r="B67" s="353" t="s">
        <v>173</v>
      </c>
      <c r="C67" s="332">
        <f t="shared" si="19"/>
        <v>66000</v>
      </c>
      <c r="D67" s="330"/>
      <c r="E67" s="330">
        <v>66000</v>
      </c>
      <c r="F67" s="330"/>
      <c r="H67" s="16"/>
      <c r="I67" s="16"/>
      <c r="J67" s="81"/>
      <c r="K67" s="81"/>
      <c r="L67" s="81"/>
      <c r="M67" s="16"/>
      <c r="N67" s="81"/>
      <c r="O67" s="16"/>
      <c r="P67" s="16"/>
      <c r="Q67" s="16"/>
      <c r="R67" s="16"/>
      <c r="S67" s="16"/>
    </row>
    <row r="68" spans="1:19" s="17" customFormat="1" ht="18.75" customHeight="1">
      <c r="A68" s="352">
        <v>25010300</v>
      </c>
      <c r="B68" s="353" t="s">
        <v>102</v>
      </c>
      <c r="C68" s="332">
        <f t="shared" si="19"/>
        <v>131662</v>
      </c>
      <c r="D68" s="330"/>
      <c r="E68" s="330">
        <v>131662</v>
      </c>
      <c r="F68" s="362"/>
      <c r="H68" s="16"/>
      <c r="I68" s="16"/>
      <c r="J68" s="81"/>
      <c r="K68" s="81"/>
      <c r="L68" s="81"/>
      <c r="M68" s="16"/>
      <c r="N68" s="81"/>
      <c r="O68" s="16"/>
      <c r="P68" s="16"/>
      <c r="Q68" s="16"/>
      <c r="R68" s="16"/>
      <c r="S68" s="16"/>
    </row>
    <row r="69" spans="1:19" s="17" customFormat="1" ht="51.75" customHeight="1">
      <c r="A69" s="352">
        <v>25010400</v>
      </c>
      <c r="B69" s="353" t="s">
        <v>860</v>
      </c>
      <c r="C69" s="332">
        <f t="shared" si="19"/>
        <v>35500</v>
      </c>
      <c r="D69" s="330"/>
      <c r="E69" s="330">
        <v>35500</v>
      </c>
      <c r="F69" s="362"/>
      <c r="H69" s="16"/>
      <c r="I69" s="16"/>
      <c r="J69" s="81"/>
      <c r="K69" s="81"/>
      <c r="L69" s="81"/>
      <c r="M69" s="16"/>
      <c r="N69" s="81"/>
      <c r="O69" s="16"/>
      <c r="P69" s="16"/>
      <c r="Q69" s="16"/>
      <c r="R69" s="16"/>
      <c r="S69" s="16"/>
    </row>
    <row r="70" spans="1:19" s="13" customFormat="1" ht="30" customHeight="1" hidden="1">
      <c r="A70" s="349" t="s">
        <v>848</v>
      </c>
      <c r="B70" s="350" t="s">
        <v>851</v>
      </c>
      <c r="C70" s="326">
        <f t="shared" si="19"/>
        <v>0</v>
      </c>
      <c r="D70" s="327">
        <f aca="true" t="shared" si="24" ref="D70:D83">SUM(H70:S70)</f>
        <v>0</v>
      </c>
      <c r="E70" s="327">
        <f>E75+E76</f>
        <v>0</v>
      </c>
      <c r="F70" s="327">
        <f>F75</f>
        <v>0</v>
      </c>
      <c r="H70" s="12">
        <f>H71</f>
        <v>0</v>
      </c>
      <c r="I70" s="12">
        <f aca="true" t="shared" si="25" ref="I70:S70">I75</f>
        <v>0</v>
      </c>
      <c r="J70" s="47">
        <f>J71</f>
        <v>0</v>
      </c>
      <c r="K70" s="47">
        <f>K71</f>
        <v>0</v>
      </c>
      <c r="L70" s="47">
        <f>L71</f>
        <v>0</v>
      </c>
      <c r="M70" s="12">
        <f t="shared" si="25"/>
        <v>0</v>
      </c>
      <c r="N70" s="47">
        <f t="shared" si="25"/>
        <v>0</v>
      </c>
      <c r="O70" s="12">
        <f t="shared" si="25"/>
        <v>0</v>
      </c>
      <c r="P70" s="12">
        <f t="shared" si="25"/>
        <v>0</v>
      </c>
      <c r="Q70" s="12">
        <f t="shared" si="25"/>
        <v>0</v>
      </c>
      <c r="R70" s="12">
        <f t="shared" si="25"/>
        <v>0</v>
      </c>
      <c r="S70" s="12">
        <f t="shared" si="25"/>
        <v>0</v>
      </c>
    </row>
    <row r="71" spans="1:19" s="13" customFormat="1" ht="30" customHeight="1" hidden="1">
      <c r="A71" s="349" t="s">
        <v>149</v>
      </c>
      <c r="B71" s="350" t="s">
        <v>150</v>
      </c>
      <c r="C71" s="326">
        <f t="shared" si="19"/>
        <v>0</v>
      </c>
      <c r="D71" s="327">
        <f t="shared" si="24"/>
        <v>0</v>
      </c>
      <c r="E71" s="327">
        <f>E75+E78</f>
        <v>0</v>
      </c>
      <c r="F71" s="327">
        <f>F75</f>
        <v>0</v>
      </c>
      <c r="H71" s="12">
        <f>H73+H74</f>
        <v>0</v>
      </c>
      <c r="I71" s="12"/>
      <c r="J71" s="47">
        <f>J73+J74</f>
        <v>0</v>
      </c>
      <c r="K71" s="47"/>
      <c r="L71" s="47"/>
      <c r="M71" s="12"/>
      <c r="N71" s="47"/>
      <c r="O71" s="12"/>
      <c r="P71" s="12"/>
      <c r="Q71" s="12"/>
      <c r="R71" s="12"/>
      <c r="S71" s="12"/>
    </row>
    <row r="72" spans="1:19" s="13" customFormat="1" ht="30" customHeight="1" hidden="1">
      <c r="A72" s="349" t="s">
        <v>151</v>
      </c>
      <c r="B72" s="350" t="s">
        <v>153</v>
      </c>
      <c r="C72" s="326">
        <f t="shared" si="19"/>
        <v>0</v>
      </c>
      <c r="D72" s="327">
        <f t="shared" si="24"/>
        <v>0</v>
      </c>
      <c r="E72" s="327"/>
      <c r="F72" s="327"/>
      <c r="H72" s="12">
        <f>H73</f>
        <v>0</v>
      </c>
      <c r="I72" s="12">
        <f>I73</f>
        <v>0</v>
      </c>
      <c r="J72" s="47">
        <f>J73</f>
        <v>0</v>
      </c>
      <c r="K72" s="47">
        <f>K73</f>
        <v>0</v>
      </c>
      <c r="L72" s="51">
        <f>L73</f>
        <v>0</v>
      </c>
      <c r="M72" s="12"/>
      <c r="N72" s="47"/>
      <c r="O72" s="12"/>
      <c r="P72" s="12"/>
      <c r="Q72" s="12"/>
      <c r="R72" s="12"/>
      <c r="S72" s="12"/>
    </row>
    <row r="73" spans="1:19" s="13" customFormat="1" ht="30" customHeight="1" hidden="1">
      <c r="A73" s="352" t="s">
        <v>31</v>
      </c>
      <c r="B73" s="353" t="s">
        <v>241</v>
      </c>
      <c r="C73" s="332">
        <f t="shared" si="19"/>
        <v>0</v>
      </c>
      <c r="D73" s="330">
        <f t="shared" si="24"/>
        <v>0</v>
      </c>
      <c r="E73" s="330"/>
      <c r="F73" s="327"/>
      <c r="H73" s="16"/>
      <c r="I73" s="12"/>
      <c r="J73" s="47"/>
      <c r="K73" s="47"/>
      <c r="L73" s="47"/>
      <c r="M73" s="12"/>
      <c r="N73" s="47"/>
      <c r="O73" s="12"/>
      <c r="P73" s="12"/>
      <c r="Q73" s="12"/>
      <c r="R73" s="12"/>
      <c r="S73" s="12"/>
    </row>
    <row r="74" spans="1:19" s="13" customFormat="1" ht="30" customHeight="1" hidden="1">
      <c r="A74" s="352" t="s">
        <v>180</v>
      </c>
      <c r="B74" s="353" t="s">
        <v>459</v>
      </c>
      <c r="C74" s="337">
        <f t="shared" si="19"/>
        <v>0</v>
      </c>
      <c r="D74" s="330">
        <f t="shared" si="24"/>
        <v>0</v>
      </c>
      <c r="E74" s="334"/>
      <c r="F74" s="338"/>
      <c r="H74" s="16"/>
      <c r="I74" s="12"/>
      <c r="J74" s="47"/>
      <c r="K74" s="51"/>
      <c r="L74" s="47"/>
      <c r="M74" s="12"/>
      <c r="N74" s="47"/>
      <c r="O74" s="12"/>
      <c r="P74" s="12"/>
      <c r="Q74" s="12"/>
      <c r="R74" s="12"/>
      <c r="S74" s="12"/>
    </row>
    <row r="75" spans="1:19" s="15" customFormat="1" ht="30" customHeight="1" hidden="1">
      <c r="A75" s="352" t="s">
        <v>849</v>
      </c>
      <c r="B75" s="353" t="s">
        <v>850</v>
      </c>
      <c r="C75" s="337">
        <f t="shared" si="19"/>
        <v>0</v>
      </c>
      <c r="D75" s="330">
        <f t="shared" si="24"/>
        <v>0</v>
      </c>
      <c r="E75" s="330"/>
      <c r="F75" s="330">
        <f>E75</f>
        <v>0</v>
      </c>
      <c r="H75" s="16"/>
      <c r="I75" s="16"/>
      <c r="J75" s="81"/>
      <c r="K75" s="81"/>
      <c r="L75" s="81"/>
      <c r="M75" s="16"/>
      <c r="N75" s="81"/>
      <c r="O75" s="16"/>
      <c r="P75" s="16"/>
      <c r="Q75" s="16"/>
      <c r="R75" s="16"/>
      <c r="S75" s="16"/>
    </row>
    <row r="76" spans="1:19" s="15" customFormat="1" ht="30" customHeight="1" hidden="1">
      <c r="A76" s="349" t="s">
        <v>294</v>
      </c>
      <c r="B76" s="350" t="s">
        <v>852</v>
      </c>
      <c r="C76" s="337">
        <f t="shared" si="19"/>
        <v>0</v>
      </c>
      <c r="D76" s="327">
        <f>D78</f>
        <v>0</v>
      </c>
      <c r="E76" s="327">
        <f>E78</f>
        <v>0</v>
      </c>
      <c r="F76" s="327">
        <f>F78</f>
        <v>0</v>
      </c>
      <c r="H76" s="16"/>
      <c r="I76" s="16"/>
      <c r="J76" s="81"/>
      <c r="K76" s="81"/>
      <c r="L76" s="81"/>
      <c r="M76" s="16"/>
      <c r="N76" s="81"/>
      <c r="O76" s="16"/>
      <c r="P76" s="16"/>
      <c r="Q76" s="16"/>
      <c r="R76" s="16"/>
      <c r="S76" s="16"/>
    </row>
    <row r="77" spans="1:19" s="15" customFormat="1" ht="30" customHeight="1" hidden="1">
      <c r="A77" s="349" t="s">
        <v>853</v>
      </c>
      <c r="B77" s="350" t="s">
        <v>854</v>
      </c>
      <c r="C77" s="337">
        <f t="shared" si="19"/>
        <v>0</v>
      </c>
      <c r="D77" s="327">
        <f>D78</f>
        <v>0</v>
      </c>
      <c r="E77" s="327">
        <f>E78</f>
        <v>0</v>
      </c>
      <c r="F77" s="327">
        <f>F78</f>
        <v>0</v>
      </c>
      <c r="H77" s="16"/>
      <c r="I77" s="16"/>
      <c r="J77" s="81"/>
      <c r="K77" s="81"/>
      <c r="L77" s="81"/>
      <c r="M77" s="16"/>
      <c r="N77" s="81"/>
      <c r="O77" s="16"/>
      <c r="P77" s="16"/>
      <c r="Q77" s="16"/>
      <c r="R77" s="16"/>
      <c r="S77" s="16"/>
    </row>
    <row r="78" spans="1:19" s="15" customFormat="1" ht="33" customHeight="1" hidden="1">
      <c r="A78" s="352" t="s">
        <v>13</v>
      </c>
      <c r="B78" s="353" t="s">
        <v>392</v>
      </c>
      <c r="C78" s="337">
        <f t="shared" si="19"/>
        <v>0</v>
      </c>
      <c r="D78" s="330"/>
      <c r="E78" s="330"/>
      <c r="F78" s="330"/>
      <c r="H78" s="16"/>
      <c r="I78" s="16"/>
      <c r="J78" s="81"/>
      <c r="K78" s="81"/>
      <c r="L78" s="81"/>
      <c r="M78" s="16"/>
      <c r="N78" s="81"/>
      <c r="O78" s="16"/>
      <c r="P78" s="16"/>
      <c r="Q78" s="16"/>
      <c r="R78" s="16"/>
      <c r="S78" s="16"/>
    </row>
    <row r="79" spans="1:19" s="449" customFormat="1" ht="31.5" customHeight="1">
      <c r="A79" s="446"/>
      <c r="B79" s="447" t="s">
        <v>163</v>
      </c>
      <c r="C79" s="546">
        <f t="shared" si="19"/>
        <v>87131607</v>
      </c>
      <c r="D79" s="448">
        <f t="shared" si="24"/>
        <v>85642300</v>
      </c>
      <c r="E79" s="448">
        <f>E10+E41+E70</f>
        <v>1489307</v>
      </c>
      <c r="F79" s="448">
        <f>F10+F41+F70+F76</f>
        <v>0</v>
      </c>
      <c r="H79" s="450">
        <f aca="true" t="shared" si="26" ref="H79:S79">H10+H41+H70</f>
        <v>85642300</v>
      </c>
      <c r="I79" s="450">
        <f t="shared" si="26"/>
        <v>0</v>
      </c>
      <c r="J79" s="451">
        <f t="shared" si="26"/>
        <v>0</v>
      </c>
      <c r="K79" s="451">
        <f t="shared" si="26"/>
        <v>0</v>
      </c>
      <c r="L79" s="451">
        <f t="shared" si="26"/>
        <v>0</v>
      </c>
      <c r="M79" s="450">
        <f t="shared" si="26"/>
        <v>0</v>
      </c>
      <c r="N79" s="451">
        <f t="shared" si="26"/>
        <v>0</v>
      </c>
      <c r="O79" s="450">
        <f t="shared" si="26"/>
        <v>0</v>
      </c>
      <c r="P79" s="450">
        <f t="shared" si="26"/>
        <v>0</v>
      </c>
      <c r="Q79" s="450">
        <f t="shared" si="26"/>
        <v>0</v>
      </c>
      <c r="R79" s="450">
        <f t="shared" si="26"/>
        <v>0</v>
      </c>
      <c r="S79" s="450">
        <f t="shared" si="26"/>
        <v>0</v>
      </c>
    </row>
    <row r="80" spans="1:19" s="13" customFormat="1" ht="23.25" customHeight="1">
      <c r="A80" s="349" t="s">
        <v>54</v>
      </c>
      <c r="B80" s="350" t="s">
        <v>16</v>
      </c>
      <c r="C80" s="339">
        <f>D80+E80</f>
        <v>334608205</v>
      </c>
      <c r="D80" s="327">
        <f t="shared" si="24"/>
        <v>333017355</v>
      </c>
      <c r="E80" s="327">
        <f>E81</f>
        <v>1590850</v>
      </c>
      <c r="F80" s="327">
        <f>F81</f>
        <v>1357350</v>
      </c>
      <c r="H80" s="12">
        <f>H81</f>
        <v>333017355</v>
      </c>
      <c r="I80" s="12">
        <f aca="true" t="shared" si="27" ref="I80:S80">I81</f>
        <v>0</v>
      </c>
      <c r="J80" s="12">
        <f t="shared" si="27"/>
        <v>0</v>
      </c>
      <c r="K80" s="12">
        <f t="shared" si="27"/>
        <v>0</v>
      </c>
      <c r="L80" s="12">
        <f t="shared" si="27"/>
        <v>0</v>
      </c>
      <c r="M80" s="12">
        <f t="shared" si="27"/>
        <v>0</v>
      </c>
      <c r="N80" s="12">
        <f t="shared" si="27"/>
        <v>0</v>
      </c>
      <c r="O80" s="12">
        <f t="shared" si="27"/>
        <v>0</v>
      </c>
      <c r="P80" s="12">
        <f t="shared" si="27"/>
        <v>0</v>
      </c>
      <c r="Q80" s="12">
        <f t="shared" si="27"/>
        <v>0</v>
      </c>
      <c r="R80" s="12">
        <f t="shared" si="27"/>
        <v>0</v>
      </c>
      <c r="S80" s="12">
        <f t="shared" si="27"/>
        <v>0</v>
      </c>
    </row>
    <row r="81" spans="1:19" s="13" customFormat="1" ht="21.75" customHeight="1">
      <c r="A81" s="349" t="s">
        <v>58</v>
      </c>
      <c r="B81" s="350" t="s">
        <v>38</v>
      </c>
      <c r="C81" s="339">
        <f>D81+E81</f>
        <v>334608205</v>
      </c>
      <c r="D81" s="327">
        <f t="shared" si="24"/>
        <v>333017355</v>
      </c>
      <c r="E81" s="327">
        <f>E85+E96+E99+E101</f>
        <v>1590850</v>
      </c>
      <c r="F81" s="327">
        <f>F85+F96+F99+F101</f>
        <v>1357350</v>
      </c>
      <c r="H81" s="12">
        <f>H82+H85+H96+H101+H99</f>
        <v>333017355</v>
      </c>
      <c r="I81" s="12">
        <f>I82+I85+I96+I101+I99</f>
        <v>0</v>
      </c>
      <c r="J81" s="47">
        <f>J82+J85+J96+J101+J99</f>
        <v>0</v>
      </c>
      <c r="K81" s="47">
        <f>K85+K96+K99+K101</f>
        <v>0</v>
      </c>
      <c r="L81" s="47">
        <f>L85+L96+L99+L101</f>
        <v>0</v>
      </c>
      <c r="M81" s="47">
        <f>M85+M96+M99+M101</f>
        <v>0</v>
      </c>
      <c r="N81" s="47">
        <f aca="true" t="shared" si="28" ref="N81:S81">N82+N85+N96</f>
        <v>0</v>
      </c>
      <c r="O81" s="12">
        <f t="shared" si="28"/>
        <v>0</v>
      </c>
      <c r="P81" s="12">
        <f t="shared" si="28"/>
        <v>0</v>
      </c>
      <c r="Q81" s="12">
        <f t="shared" si="28"/>
        <v>0</v>
      </c>
      <c r="R81" s="12">
        <f t="shared" si="28"/>
        <v>0</v>
      </c>
      <c r="S81" s="12">
        <f t="shared" si="28"/>
        <v>0</v>
      </c>
    </row>
    <row r="82" spans="1:19" s="15" customFormat="1" ht="30" customHeight="1" hidden="1">
      <c r="A82" s="349" t="s">
        <v>55</v>
      </c>
      <c r="B82" s="350" t="s">
        <v>695</v>
      </c>
      <c r="C82" s="328"/>
      <c r="D82" s="330">
        <f t="shared" si="24"/>
        <v>0</v>
      </c>
      <c r="E82" s="330">
        <f>SUM(E83:E84)</f>
        <v>0</v>
      </c>
      <c r="F82" s="330">
        <f>SUM(F83:F84)</f>
        <v>0</v>
      </c>
      <c r="H82" s="14">
        <f aca="true" t="shared" si="29" ref="H82:R82">SUM(H83:H84)</f>
        <v>0</v>
      </c>
      <c r="I82" s="14">
        <f t="shared" si="29"/>
        <v>0</v>
      </c>
      <c r="J82" s="51">
        <f t="shared" si="29"/>
        <v>0</v>
      </c>
      <c r="K82" s="51">
        <f t="shared" si="29"/>
        <v>0</v>
      </c>
      <c r="L82" s="51">
        <f t="shared" si="29"/>
        <v>0</v>
      </c>
      <c r="M82" s="14">
        <f t="shared" si="29"/>
        <v>0</v>
      </c>
      <c r="N82" s="51">
        <f t="shared" si="29"/>
        <v>0</v>
      </c>
      <c r="O82" s="14">
        <f t="shared" si="29"/>
        <v>0</v>
      </c>
      <c r="P82" s="14">
        <f t="shared" si="29"/>
        <v>0</v>
      </c>
      <c r="Q82" s="14">
        <f t="shared" si="29"/>
        <v>0</v>
      </c>
      <c r="R82" s="14">
        <f t="shared" si="29"/>
        <v>0</v>
      </c>
      <c r="S82" s="14">
        <f>SUM(S83:S84)</f>
        <v>0</v>
      </c>
    </row>
    <row r="83" spans="1:19" s="15" customFormat="1" ht="16.5" hidden="1">
      <c r="A83" s="354"/>
      <c r="B83" s="355"/>
      <c r="C83" s="340"/>
      <c r="D83" s="363">
        <f t="shared" si="24"/>
        <v>0</v>
      </c>
      <c r="E83" s="363"/>
      <c r="F83" s="363"/>
      <c r="H83" s="16"/>
      <c r="I83" s="16"/>
      <c r="J83" s="81"/>
      <c r="K83" s="81"/>
      <c r="L83" s="81"/>
      <c r="M83" s="16"/>
      <c r="N83" s="81"/>
      <c r="O83" s="16"/>
      <c r="P83" s="16"/>
      <c r="Q83" s="16"/>
      <c r="R83" s="16"/>
      <c r="S83" s="16"/>
    </row>
    <row r="84" spans="1:19" s="15" customFormat="1" ht="30" customHeight="1" hidden="1">
      <c r="A84" s="351" t="s">
        <v>847</v>
      </c>
      <c r="B84" s="348" t="s">
        <v>17</v>
      </c>
      <c r="C84" s="329"/>
      <c r="D84" s="330">
        <f>SUM(H84:S84)</f>
        <v>0</v>
      </c>
      <c r="E84" s="330"/>
      <c r="F84" s="330"/>
      <c r="H84" s="16">
        <v>0</v>
      </c>
      <c r="I84" s="16"/>
      <c r="J84" s="81"/>
      <c r="K84" s="81"/>
      <c r="L84" s="81"/>
      <c r="M84" s="16"/>
      <c r="N84" s="81"/>
      <c r="O84" s="63">
        <f>O15+O45+O75</f>
        <v>0</v>
      </c>
      <c r="P84" s="16"/>
      <c r="Q84" s="16"/>
      <c r="R84" s="16"/>
      <c r="S84" s="16"/>
    </row>
    <row r="85" spans="1:19" s="15" customFormat="1" ht="21.75" customHeight="1">
      <c r="A85" s="349" t="s">
        <v>56</v>
      </c>
      <c r="B85" s="350" t="s">
        <v>297</v>
      </c>
      <c r="C85" s="339">
        <f>D85+E85</f>
        <v>7957100</v>
      </c>
      <c r="D85" s="327">
        <f>SUM(H85:S85)</f>
        <v>7957100</v>
      </c>
      <c r="E85" s="327">
        <f>SUM(E86:E91)</f>
        <v>0</v>
      </c>
      <c r="F85" s="327">
        <f>SUM(F86:F91)</f>
        <v>0</v>
      </c>
      <c r="H85" s="12">
        <f>SUM(H86:H95)</f>
        <v>7957100</v>
      </c>
      <c r="I85" s="14">
        <f aca="true" t="shared" si="30" ref="I85:R85">SUM(I86:I91)</f>
        <v>0</v>
      </c>
      <c r="J85" s="51">
        <f t="shared" si="30"/>
        <v>0</v>
      </c>
      <c r="K85" s="51">
        <f>K86</f>
        <v>0</v>
      </c>
      <c r="L85" s="51">
        <f>SUM(L86:L95)</f>
        <v>0</v>
      </c>
      <c r="M85" s="14">
        <f t="shared" si="30"/>
        <v>0</v>
      </c>
      <c r="N85" s="51"/>
      <c r="O85" s="14">
        <f t="shared" si="30"/>
        <v>0</v>
      </c>
      <c r="P85" s="14">
        <f t="shared" si="30"/>
        <v>0</v>
      </c>
      <c r="Q85" s="14">
        <f t="shared" si="30"/>
        <v>0</v>
      </c>
      <c r="R85" s="14">
        <f t="shared" si="30"/>
        <v>0</v>
      </c>
      <c r="S85" s="14">
        <f>SUM(S86:S91)</f>
        <v>0</v>
      </c>
    </row>
    <row r="86" spans="1:19" s="15" customFormat="1" ht="18.75" customHeight="1">
      <c r="A86" s="351" t="s">
        <v>60</v>
      </c>
      <c r="B86" s="348" t="s">
        <v>97</v>
      </c>
      <c r="C86" s="337">
        <f>D86+E86</f>
        <v>7957100</v>
      </c>
      <c r="D86" s="330">
        <f>SUM(H86:S86)</f>
        <v>7957100</v>
      </c>
      <c r="E86" s="330"/>
      <c r="F86" s="330"/>
      <c r="H86" s="16">
        <v>7957100</v>
      </c>
      <c r="I86" s="16"/>
      <c r="J86" s="81"/>
      <c r="K86" s="81"/>
      <c r="L86" s="81"/>
      <c r="M86" s="16"/>
      <c r="N86" s="81"/>
      <c r="O86" s="16"/>
      <c r="P86" s="16"/>
      <c r="Q86" s="16"/>
      <c r="R86" s="16"/>
      <c r="S86" s="16"/>
    </row>
    <row r="87" spans="1:19" s="15" customFormat="1" ht="24.75" customHeight="1" hidden="1">
      <c r="A87" s="351" t="s">
        <v>462</v>
      </c>
      <c r="B87" s="348" t="s">
        <v>721</v>
      </c>
      <c r="C87" s="329"/>
      <c r="D87" s="330">
        <f>SUM(H87:S87)</f>
        <v>0</v>
      </c>
      <c r="E87" s="330"/>
      <c r="F87" s="330"/>
      <c r="H87" s="16">
        <v>0</v>
      </c>
      <c r="I87" s="16"/>
      <c r="J87" s="81"/>
      <c r="K87" s="81"/>
      <c r="L87" s="81"/>
      <c r="M87" s="16"/>
      <c r="N87" s="81"/>
      <c r="O87" s="16"/>
      <c r="P87" s="16"/>
      <c r="Q87" s="16"/>
      <c r="R87" s="16"/>
      <c r="S87" s="16"/>
    </row>
    <row r="88" spans="1:19" s="15" customFormat="1" ht="16.5" hidden="1">
      <c r="A88" s="354" t="s">
        <v>348</v>
      </c>
      <c r="B88" s="355" t="s">
        <v>764</v>
      </c>
      <c r="C88" s="340"/>
      <c r="D88" s="363">
        <f aca="true" t="shared" si="31" ref="D88:D102">SUM(H88:S88)</f>
        <v>0</v>
      </c>
      <c r="E88" s="363"/>
      <c r="F88" s="363"/>
      <c r="H88" s="16"/>
      <c r="I88" s="16"/>
      <c r="J88" s="81"/>
      <c r="K88" s="81"/>
      <c r="L88" s="81"/>
      <c r="M88" s="16"/>
      <c r="N88" s="81"/>
      <c r="O88" s="16"/>
      <c r="P88" s="16"/>
      <c r="Q88" s="16"/>
      <c r="R88" s="16"/>
      <c r="S88" s="16"/>
    </row>
    <row r="89" spans="1:19" s="15" customFormat="1" ht="20.25" customHeight="1" hidden="1">
      <c r="A89" s="354" t="s">
        <v>863</v>
      </c>
      <c r="B89" s="355" t="s">
        <v>862</v>
      </c>
      <c r="C89" s="340"/>
      <c r="D89" s="363">
        <f t="shared" si="31"/>
        <v>0</v>
      </c>
      <c r="E89" s="363"/>
      <c r="F89" s="363"/>
      <c r="H89" s="16"/>
      <c r="I89" s="16"/>
      <c r="J89" s="81"/>
      <c r="K89" s="81"/>
      <c r="L89" s="81"/>
      <c r="M89" s="16"/>
      <c r="N89" s="81"/>
      <c r="O89" s="16"/>
      <c r="P89" s="16"/>
      <c r="Q89" s="16"/>
      <c r="R89" s="16"/>
      <c r="S89" s="16"/>
    </row>
    <row r="90" spans="1:19" s="15" customFormat="1" ht="28.5" customHeight="1" hidden="1">
      <c r="A90" s="354" t="s">
        <v>463</v>
      </c>
      <c r="B90" s="356" t="s">
        <v>98</v>
      </c>
      <c r="C90" s="341"/>
      <c r="D90" s="363">
        <f t="shared" si="31"/>
        <v>0</v>
      </c>
      <c r="E90" s="363"/>
      <c r="F90" s="363"/>
      <c r="H90" s="16"/>
      <c r="I90" s="16"/>
      <c r="J90" s="81"/>
      <c r="K90" s="81"/>
      <c r="L90" s="81"/>
      <c r="M90" s="16"/>
      <c r="N90" s="81"/>
      <c r="O90" s="16"/>
      <c r="P90" s="16"/>
      <c r="Q90" s="16"/>
      <c r="R90" s="16"/>
      <c r="S90" s="16"/>
    </row>
    <row r="91" spans="1:19" s="23" customFormat="1" ht="29.25" customHeight="1" hidden="1">
      <c r="A91" s="351" t="s">
        <v>402</v>
      </c>
      <c r="B91" s="348" t="s">
        <v>154</v>
      </c>
      <c r="C91" s="329"/>
      <c r="D91" s="334">
        <f t="shared" si="31"/>
        <v>0</v>
      </c>
      <c r="E91" s="334"/>
      <c r="F91" s="334"/>
      <c r="H91" s="22"/>
      <c r="I91" s="22"/>
      <c r="J91" s="77"/>
      <c r="K91" s="77"/>
      <c r="L91" s="77"/>
      <c r="M91" s="22"/>
      <c r="N91" s="77"/>
      <c r="O91" s="22"/>
      <c r="P91" s="22"/>
      <c r="Q91" s="22"/>
      <c r="R91" s="22"/>
      <c r="S91" s="22"/>
    </row>
    <row r="92" spans="1:19" s="23" customFormat="1" ht="43.5" customHeight="1" hidden="1">
      <c r="A92" s="351" t="s">
        <v>496</v>
      </c>
      <c r="B92" s="348" t="s">
        <v>497</v>
      </c>
      <c r="C92" s="329"/>
      <c r="D92" s="330">
        <f t="shared" si="31"/>
        <v>0</v>
      </c>
      <c r="E92" s="330"/>
      <c r="F92" s="330"/>
      <c r="H92" s="22"/>
      <c r="I92" s="22"/>
      <c r="J92" s="77"/>
      <c r="K92" s="77"/>
      <c r="L92" s="77"/>
      <c r="M92" s="22"/>
      <c r="N92" s="77"/>
      <c r="O92" s="22"/>
      <c r="P92" s="22"/>
      <c r="Q92" s="22"/>
      <c r="R92" s="22"/>
      <c r="S92" s="22"/>
    </row>
    <row r="93" spans="1:19" s="23" customFormat="1" ht="28.5" customHeight="1" hidden="1">
      <c r="A93" s="351" t="s">
        <v>846</v>
      </c>
      <c r="B93" s="348" t="s">
        <v>225</v>
      </c>
      <c r="C93" s="329"/>
      <c r="D93" s="334">
        <f t="shared" si="31"/>
        <v>0</v>
      </c>
      <c r="E93" s="334"/>
      <c r="F93" s="334"/>
      <c r="H93" s="22"/>
      <c r="I93" s="22"/>
      <c r="J93" s="77"/>
      <c r="K93" s="77"/>
      <c r="L93" s="77"/>
      <c r="M93" s="22"/>
      <c r="N93" s="77"/>
      <c r="O93" s="22"/>
      <c r="P93" s="22"/>
      <c r="Q93" s="22"/>
      <c r="R93" s="22"/>
      <c r="S93" s="22"/>
    </row>
    <row r="94" spans="1:19" s="23" customFormat="1" ht="29.25" customHeight="1" hidden="1">
      <c r="A94" s="351" t="s">
        <v>716</v>
      </c>
      <c r="B94" s="348" t="s">
        <v>717</v>
      </c>
      <c r="C94" s="329"/>
      <c r="D94" s="330">
        <f t="shared" si="31"/>
        <v>0</v>
      </c>
      <c r="E94" s="330"/>
      <c r="F94" s="330"/>
      <c r="H94" s="22"/>
      <c r="I94" s="22"/>
      <c r="J94" s="77"/>
      <c r="K94" s="77"/>
      <c r="L94" s="77"/>
      <c r="M94" s="22"/>
      <c r="N94" s="77"/>
      <c r="O94" s="22"/>
      <c r="P94" s="22"/>
      <c r="Q94" s="22"/>
      <c r="R94" s="22"/>
      <c r="S94" s="22"/>
    </row>
    <row r="95" spans="1:19" s="23" customFormat="1" ht="27.75" customHeight="1" hidden="1">
      <c r="A95" s="357" t="s">
        <v>736</v>
      </c>
      <c r="B95" s="358" t="s">
        <v>737</v>
      </c>
      <c r="C95" s="342">
        <f>E95+D95</f>
        <v>0</v>
      </c>
      <c r="D95" s="330">
        <f t="shared" si="31"/>
        <v>0</v>
      </c>
      <c r="E95" s="330"/>
      <c r="F95" s="330"/>
      <c r="H95" s="22"/>
      <c r="I95" s="22"/>
      <c r="J95" s="77"/>
      <c r="K95" s="77"/>
      <c r="L95" s="77"/>
      <c r="M95" s="22"/>
      <c r="N95" s="77"/>
      <c r="O95" s="22"/>
      <c r="P95" s="22"/>
      <c r="Q95" s="22"/>
      <c r="R95" s="22"/>
      <c r="S95" s="22"/>
    </row>
    <row r="96" spans="1:19" s="15" customFormat="1" ht="39" customHeight="1">
      <c r="A96" s="349" t="s">
        <v>57</v>
      </c>
      <c r="B96" s="350" t="s">
        <v>298</v>
      </c>
      <c r="C96" s="339">
        <f>D96+E96</f>
        <v>102040600</v>
      </c>
      <c r="D96" s="327">
        <f aca="true" t="shared" si="32" ref="D96:D101">SUM(H96:S96)</f>
        <v>102040600</v>
      </c>
      <c r="E96" s="370">
        <f>SUM(E97:E98)</f>
        <v>0</v>
      </c>
      <c r="F96" s="370">
        <f>SUM(F97:F98)</f>
        <v>0</v>
      </c>
      <c r="H96" s="12">
        <f>H97+H98</f>
        <v>102040600</v>
      </c>
      <c r="I96" s="12">
        <f aca="true" t="shared" si="33" ref="I96:S96">I97+I98</f>
        <v>0</v>
      </c>
      <c r="J96" s="12">
        <f t="shared" si="33"/>
        <v>0</v>
      </c>
      <c r="K96" s="12">
        <f t="shared" si="33"/>
        <v>0</v>
      </c>
      <c r="L96" s="12">
        <f t="shared" si="33"/>
        <v>0</v>
      </c>
      <c r="M96" s="12">
        <f t="shared" si="33"/>
        <v>0</v>
      </c>
      <c r="N96" s="12">
        <f t="shared" si="33"/>
        <v>0</v>
      </c>
      <c r="O96" s="12">
        <f t="shared" si="33"/>
        <v>0</v>
      </c>
      <c r="P96" s="12">
        <f t="shared" si="33"/>
        <v>0</v>
      </c>
      <c r="Q96" s="12">
        <f t="shared" si="33"/>
        <v>0</v>
      </c>
      <c r="R96" s="12">
        <f t="shared" si="33"/>
        <v>0</v>
      </c>
      <c r="S96" s="12">
        <f t="shared" si="33"/>
        <v>0</v>
      </c>
    </row>
    <row r="97" spans="1:19" s="15" customFormat="1" ht="39" customHeight="1">
      <c r="A97" s="368">
        <v>41033900</v>
      </c>
      <c r="B97" s="369" t="s">
        <v>514</v>
      </c>
      <c r="C97" s="343">
        <f>D97+E97</f>
        <v>73402900</v>
      </c>
      <c r="D97" s="330">
        <f t="shared" si="32"/>
        <v>73402900</v>
      </c>
      <c r="E97" s="327"/>
      <c r="F97" s="327"/>
      <c r="H97" s="14">
        <v>73402900</v>
      </c>
      <c r="I97" s="14"/>
      <c r="J97" s="51"/>
      <c r="K97" s="51"/>
      <c r="L97" s="51"/>
      <c r="M97" s="14"/>
      <c r="N97" s="51"/>
      <c r="O97" s="14"/>
      <c r="P97" s="14"/>
      <c r="Q97" s="14"/>
      <c r="R97" s="14"/>
      <c r="S97" s="14"/>
    </row>
    <row r="98" spans="1:19" s="15" customFormat="1" ht="39" customHeight="1">
      <c r="A98" s="368">
        <v>41034200</v>
      </c>
      <c r="B98" s="369" t="s">
        <v>515</v>
      </c>
      <c r="C98" s="343">
        <f>D98+E98</f>
        <v>28637700</v>
      </c>
      <c r="D98" s="330">
        <f t="shared" si="32"/>
        <v>28637700</v>
      </c>
      <c r="E98" s="327"/>
      <c r="F98" s="327"/>
      <c r="H98" s="14">
        <f>28637700</f>
        <v>28637700</v>
      </c>
      <c r="I98" s="14"/>
      <c r="J98" s="51"/>
      <c r="K98" s="51"/>
      <c r="L98" s="51"/>
      <c r="M98" s="14"/>
      <c r="N98" s="51"/>
      <c r="O98" s="14"/>
      <c r="P98" s="14"/>
      <c r="Q98" s="14"/>
      <c r="R98" s="14"/>
      <c r="S98" s="14"/>
    </row>
    <row r="99" spans="1:19" s="13" customFormat="1" ht="36" customHeight="1">
      <c r="A99" s="359" t="s">
        <v>465</v>
      </c>
      <c r="B99" s="360" t="s">
        <v>464</v>
      </c>
      <c r="C99" s="339">
        <f aca="true" t="shared" si="34" ref="C99:C115">D99+E99</f>
        <v>14025540</v>
      </c>
      <c r="D99" s="327">
        <f t="shared" si="32"/>
        <v>14025540</v>
      </c>
      <c r="E99" s="327"/>
      <c r="F99" s="327"/>
      <c r="H99" s="44">
        <f>H100</f>
        <v>14025540</v>
      </c>
      <c r="I99" s="44"/>
      <c r="J99" s="276"/>
      <c r="K99" s="276">
        <f>K100</f>
        <v>0</v>
      </c>
      <c r="L99" s="276">
        <f>L100</f>
        <v>0</v>
      </c>
      <c r="M99" s="44"/>
      <c r="N99" s="276"/>
      <c r="O99" s="44"/>
      <c r="P99" s="44"/>
      <c r="Q99" s="44"/>
      <c r="R99" s="44"/>
      <c r="S99" s="44"/>
    </row>
    <row r="100" spans="1:19" s="15" customFormat="1" ht="66" customHeight="1">
      <c r="A100" s="352" t="s">
        <v>466</v>
      </c>
      <c r="B100" s="348" t="s">
        <v>467</v>
      </c>
      <c r="C100" s="343">
        <f t="shared" si="34"/>
        <v>14025540</v>
      </c>
      <c r="D100" s="330">
        <f t="shared" si="32"/>
        <v>14025540</v>
      </c>
      <c r="E100" s="330"/>
      <c r="F100" s="330"/>
      <c r="G100" s="55"/>
      <c r="H100" s="16">
        <f>13086000+250000+2139+120000+41620+158631+8668+144667+14328+99187+100300</f>
        <v>14025540</v>
      </c>
      <c r="I100" s="16"/>
      <c r="J100" s="81"/>
      <c r="K100" s="81"/>
      <c r="L100" s="81"/>
      <c r="M100" s="16"/>
      <c r="N100" s="81"/>
      <c r="O100" s="16"/>
      <c r="P100" s="16"/>
      <c r="Q100" s="16"/>
      <c r="R100" s="16"/>
      <c r="S100" s="16"/>
    </row>
    <row r="101" spans="1:19" s="15" customFormat="1" ht="35.25" customHeight="1">
      <c r="A101" s="349" t="s">
        <v>468</v>
      </c>
      <c r="B101" s="350" t="s">
        <v>469</v>
      </c>
      <c r="C101" s="339">
        <f>D101+E101</f>
        <v>210584965</v>
      </c>
      <c r="D101" s="327">
        <f t="shared" si="32"/>
        <v>208994115</v>
      </c>
      <c r="E101" s="327">
        <f>SUM(E102:E115)</f>
        <v>1590850</v>
      </c>
      <c r="F101" s="327">
        <f>SUM(F102:F115)</f>
        <v>1357350</v>
      </c>
      <c r="H101" s="44">
        <f>H104+H102+H103+H106+H107+H110+H112+H115+H108</f>
        <v>208994115</v>
      </c>
      <c r="I101" s="44">
        <f>I104+I102+I103+I106+I107+I110+I112+I115+I108</f>
        <v>0</v>
      </c>
      <c r="J101" s="276">
        <f>J104+J102+J103+J106+J107+J110+J112+J115+J108+J111+J109+J105</f>
        <v>0</v>
      </c>
      <c r="K101" s="276">
        <f>K104+K102+K103+K106+K107+K110+K112+K115+K108+K111+K109+K105</f>
        <v>0</v>
      </c>
      <c r="L101" s="81">
        <f>SUM(L102:L115)</f>
        <v>0</v>
      </c>
      <c r="M101" s="81">
        <f>SUM(M102:M115)</f>
        <v>0</v>
      </c>
      <c r="N101" s="81"/>
      <c r="O101" s="16"/>
      <c r="P101" s="16"/>
      <c r="Q101" s="16"/>
      <c r="R101" s="16"/>
      <c r="S101" s="16"/>
    </row>
    <row r="102" spans="1:19" s="15" customFormat="1" ht="236.25" customHeight="1">
      <c r="A102" s="352" t="s">
        <v>288</v>
      </c>
      <c r="B102" s="348" t="s">
        <v>785</v>
      </c>
      <c r="C102" s="251">
        <f t="shared" si="34"/>
        <v>69279200</v>
      </c>
      <c r="D102" s="330">
        <f t="shared" si="31"/>
        <v>69279200</v>
      </c>
      <c r="E102" s="330"/>
      <c r="F102" s="330"/>
      <c r="H102" s="16">
        <v>69279200</v>
      </c>
      <c r="I102" s="16"/>
      <c r="J102" s="81"/>
      <c r="K102" s="81"/>
      <c r="L102" s="81"/>
      <c r="M102" s="16"/>
      <c r="N102" s="81"/>
      <c r="O102" s="16"/>
      <c r="P102" s="16"/>
      <c r="Q102" s="16"/>
      <c r="R102" s="16"/>
      <c r="S102" s="16"/>
    </row>
    <row r="103" spans="1:19" s="15" customFormat="1" ht="75" customHeight="1">
      <c r="A103" s="352" t="s">
        <v>289</v>
      </c>
      <c r="B103" s="348" t="s">
        <v>290</v>
      </c>
      <c r="C103" s="251">
        <f t="shared" si="34"/>
        <v>4177700</v>
      </c>
      <c r="D103" s="330">
        <f>SUM(H103:S103)</f>
        <v>4177700</v>
      </c>
      <c r="E103" s="333"/>
      <c r="F103" s="333"/>
      <c r="H103" s="16">
        <v>4177700</v>
      </c>
      <c r="I103" s="16"/>
      <c r="J103" s="81"/>
      <c r="K103" s="81"/>
      <c r="L103" s="81"/>
      <c r="M103" s="16"/>
      <c r="N103" s="81"/>
      <c r="O103" s="16"/>
      <c r="P103" s="16"/>
      <c r="Q103" s="16"/>
      <c r="R103" s="16"/>
      <c r="S103" s="16"/>
    </row>
    <row r="104" spans="1:19" s="15" customFormat="1" ht="218.25" customHeight="1">
      <c r="A104" s="352" t="s">
        <v>470</v>
      </c>
      <c r="B104" s="348" t="s">
        <v>787</v>
      </c>
      <c r="C104" s="251">
        <f t="shared" si="34"/>
        <v>106305700</v>
      </c>
      <c r="D104" s="330">
        <f>SUM(H104:S104)</f>
        <v>106305700</v>
      </c>
      <c r="E104" s="333"/>
      <c r="F104" s="333"/>
      <c r="H104" s="16">
        <v>106305700</v>
      </c>
      <c r="I104" s="16"/>
      <c r="J104" s="81"/>
      <c r="K104" s="81"/>
      <c r="L104" s="81"/>
      <c r="M104" s="16"/>
      <c r="N104" s="81"/>
      <c r="O104" s="16"/>
      <c r="P104" s="16"/>
      <c r="Q104" s="16"/>
      <c r="R104" s="16"/>
      <c r="S104" s="16"/>
    </row>
    <row r="105" spans="1:19" s="15" customFormat="1" ht="234" customHeight="1" hidden="1">
      <c r="A105" s="352" t="s">
        <v>399</v>
      </c>
      <c r="B105" s="348" t="s">
        <v>206</v>
      </c>
      <c r="C105" s="251">
        <f t="shared" si="34"/>
        <v>0</v>
      </c>
      <c r="D105" s="330">
        <f>SUM(H105:S105)</f>
        <v>0</v>
      </c>
      <c r="E105" s="333"/>
      <c r="F105" s="333"/>
      <c r="H105" s="16"/>
      <c r="I105" s="16"/>
      <c r="J105" s="81"/>
      <c r="K105" s="81"/>
      <c r="L105" s="81"/>
      <c r="M105" s="16"/>
      <c r="N105" s="81"/>
      <c r="O105" s="16"/>
      <c r="P105" s="16"/>
      <c r="Q105" s="16"/>
      <c r="R105" s="16"/>
      <c r="S105" s="16"/>
    </row>
    <row r="106" spans="1:19" s="15" customFormat="1" ht="183.75" customHeight="1">
      <c r="A106" s="352" t="s">
        <v>131</v>
      </c>
      <c r="B106" s="348" t="s">
        <v>788</v>
      </c>
      <c r="C106" s="251">
        <f t="shared" si="34"/>
        <v>3679700</v>
      </c>
      <c r="D106" s="330">
        <f aca="true" t="shared" si="35" ref="D106:D112">SUM(H106:S106)</f>
        <v>3679700</v>
      </c>
      <c r="E106" s="333"/>
      <c r="F106" s="333"/>
      <c r="H106" s="16">
        <v>3679700</v>
      </c>
      <c r="I106" s="16"/>
      <c r="J106" s="81"/>
      <c r="K106" s="81"/>
      <c r="L106" s="81"/>
      <c r="M106" s="16"/>
      <c r="N106" s="81"/>
      <c r="O106" s="16"/>
      <c r="P106" s="16"/>
      <c r="Q106" s="16"/>
      <c r="R106" s="16"/>
      <c r="S106" s="16"/>
    </row>
    <row r="107" spans="1:19" s="15" customFormat="1" ht="55.5" customHeight="1">
      <c r="A107" s="352" t="s">
        <v>132</v>
      </c>
      <c r="B107" s="348" t="s">
        <v>398</v>
      </c>
      <c r="C107" s="251">
        <f t="shared" si="34"/>
        <v>1997160</v>
      </c>
      <c r="D107" s="330">
        <f t="shared" si="35"/>
        <v>1997160</v>
      </c>
      <c r="E107" s="333"/>
      <c r="F107" s="333"/>
      <c r="H107" s="16">
        <v>1997160</v>
      </c>
      <c r="I107" s="16"/>
      <c r="J107" s="81"/>
      <c r="K107" s="81"/>
      <c r="L107" s="81"/>
      <c r="M107" s="16"/>
      <c r="N107" s="81"/>
      <c r="O107" s="16"/>
      <c r="P107" s="16"/>
      <c r="Q107" s="16"/>
      <c r="R107" s="16"/>
      <c r="S107" s="16"/>
    </row>
    <row r="108" spans="1:19" s="15" customFormat="1" ht="55.5" customHeight="1">
      <c r="A108" s="352" t="s">
        <v>64</v>
      </c>
      <c r="B108" s="348" t="s">
        <v>63</v>
      </c>
      <c r="C108" s="251">
        <f t="shared" si="34"/>
        <v>305500</v>
      </c>
      <c r="D108" s="362">
        <f t="shared" si="35"/>
        <v>305500</v>
      </c>
      <c r="E108" s="330"/>
      <c r="F108" s="330"/>
      <c r="H108" s="16">
        <v>305500</v>
      </c>
      <c r="I108" s="16"/>
      <c r="J108" s="81"/>
      <c r="K108" s="81"/>
      <c r="L108" s="81"/>
      <c r="M108" s="16"/>
      <c r="N108" s="81"/>
      <c r="O108" s="16"/>
      <c r="P108" s="16"/>
      <c r="Q108" s="16"/>
      <c r="R108" s="16"/>
      <c r="S108" s="16"/>
    </row>
    <row r="109" spans="1:19" s="15" customFormat="1" ht="71.25" customHeight="1" hidden="1">
      <c r="A109" s="352" t="s">
        <v>387</v>
      </c>
      <c r="B109" s="348" t="s">
        <v>388</v>
      </c>
      <c r="C109" s="251">
        <f t="shared" si="34"/>
        <v>0</v>
      </c>
      <c r="D109" s="330">
        <f t="shared" si="35"/>
        <v>0</v>
      </c>
      <c r="E109" s="330"/>
      <c r="F109" s="330"/>
      <c r="H109" s="16"/>
      <c r="I109" s="16"/>
      <c r="J109" s="81"/>
      <c r="K109" s="81"/>
      <c r="L109" s="81"/>
      <c r="M109" s="16"/>
      <c r="N109" s="81"/>
      <c r="O109" s="16"/>
      <c r="P109" s="16"/>
      <c r="Q109" s="16"/>
      <c r="R109" s="16"/>
      <c r="S109" s="16"/>
    </row>
    <row r="110" spans="1:19" s="15" customFormat="1" ht="54" customHeight="1">
      <c r="A110" s="352" t="s">
        <v>133</v>
      </c>
      <c r="B110" s="348" t="s">
        <v>711</v>
      </c>
      <c r="C110" s="251">
        <f t="shared" si="34"/>
        <v>19580327</v>
      </c>
      <c r="D110" s="330">
        <f>SUM(H110:S110)</f>
        <v>19580327</v>
      </c>
      <c r="E110" s="333"/>
      <c r="F110" s="333"/>
      <c r="H110" s="16">
        <f>42500+1347400+3957645+485255+7300+7659931+1054469+12200+2451049+286151+5812+1923028+344687+2900</f>
        <v>19580327</v>
      </c>
      <c r="I110" s="16"/>
      <c r="J110" s="81"/>
      <c r="K110" s="81"/>
      <c r="L110" s="81"/>
      <c r="M110" s="16"/>
      <c r="N110" s="81"/>
      <c r="O110" s="16"/>
      <c r="P110" s="16"/>
      <c r="Q110" s="16"/>
      <c r="R110" s="16"/>
      <c r="S110" s="16"/>
    </row>
    <row r="111" spans="1:19" s="15" customFormat="1" ht="54" customHeight="1" hidden="1">
      <c r="A111" s="352" t="s">
        <v>385</v>
      </c>
      <c r="B111" s="348" t="s">
        <v>386</v>
      </c>
      <c r="C111" s="251">
        <f t="shared" si="34"/>
        <v>0</v>
      </c>
      <c r="D111" s="330">
        <f>SUM(H111:S111)</f>
        <v>0</v>
      </c>
      <c r="E111" s="333"/>
      <c r="F111" s="333"/>
      <c r="H111" s="16"/>
      <c r="I111" s="16"/>
      <c r="J111" s="81"/>
      <c r="K111" s="81"/>
      <c r="L111" s="81"/>
      <c r="M111" s="16"/>
      <c r="N111" s="81"/>
      <c r="O111" s="16"/>
      <c r="P111" s="16"/>
      <c r="Q111" s="16"/>
      <c r="R111" s="16"/>
      <c r="S111" s="16"/>
    </row>
    <row r="112" spans="1:19" s="15" customFormat="1" ht="65.25" customHeight="1">
      <c r="A112" s="352" t="s">
        <v>134</v>
      </c>
      <c r="B112" s="348" t="s">
        <v>135</v>
      </c>
      <c r="C112" s="251">
        <f t="shared" si="34"/>
        <v>267300</v>
      </c>
      <c r="D112" s="330">
        <f t="shared" si="35"/>
        <v>267300</v>
      </c>
      <c r="E112" s="333"/>
      <c r="F112" s="333"/>
      <c r="H112" s="16">
        <v>267300</v>
      </c>
      <c r="I112" s="16"/>
      <c r="J112" s="81"/>
      <c r="K112" s="81"/>
      <c r="L112" s="81"/>
      <c r="M112" s="16"/>
      <c r="N112" s="81"/>
      <c r="O112" s="16"/>
      <c r="P112" s="16"/>
      <c r="Q112" s="16"/>
      <c r="R112" s="16"/>
      <c r="S112" s="16"/>
    </row>
    <row r="113" spans="1:19" s="15" customFormat="1" ht="99.75" customHeight="1">
      <c r="A113" s="452" t="s">
        <v>769</v>
      </c>
      <c r="B113" s="358" t="s">
        <v>771</v>
      </c>
      <c r="C113" s="453">
        <f t="shared" si="34"/>
        <v>233500</v>
      </c>
      <c r="D113" s="362"/>
      <c r="E113" s="362">
        <v>233500</v>
      </c>
      <c r="F113" s="362"/>
      <c r="H113" s="16"/>
      <c r="I113" s="16"/>
      <c r="J113" s="81"/>
      <c r="K113" s="81"/>
      <c r="L113" s="81"/>
      <c r="M113" s="16"/>
      <c r="N113" s="81"/>
      <c r="O113" s="16"/>
      <c r="P113" s="16"/>
      <c r="Q113" s="16"/>
      <c r="R113" s="16"/>
      <c r="S113" s="16"/>
    </row>
    <row r="114" spans="1:19" s="15" customFormat="1" ht="235.5" customHeight="1" hidden="1">
      <c r="A114" s="452" t="s">
        <v>768</v>
      </c>
      <c r="B114" s="358" t="s">
        <v>770</v>
      </c>
      <c r="C114" s="453">
        <f t="shared" si="34"/>
        <v>0</v>
      </c>
      <c r="D114" s="362"/>
      <c r="E114" s="362"/>
      <c r="F114" s="454"/>
      <c r="H114" s="16"/>
      <c r="I114" s="16"/>
      <c r="J114" s="81"/>
      <c r="K114" s="81"/>
      <c r="L114" s="81"/>
      <c r="M114" s="16"/>
      <c r="N114" s="81"/>
      <c r="O114" s="16"/>
      <c r="P114" s="16"/>
      <c r="Q114" s="16"/>
      <c r="R114" s="16"/>
      <c r="S114" s="16"/>
    </row>
    <row r="115" spans="1:19" s="15" customFormat="1" ht="25.5" customHeight="1">
      <c r="A115" s="452" t="s">
        <v>762</v>
      </c>
      <c r="B115" s="358" t="s">
        <v>136</v>
      </c>
      <c r="C115" s="453">
        <f t="shared" si="34"/>
        <v>4758878</v>
      </c>
      <c r="D115" s="362">
        <f>SUM(H115:S115)</f>
        <v>3401528</v>
      </c>
      <c r="E115" s="455">
        <f>1350000+7350</f>
        <v>1357350</v>
      </c>
      <c r="F115" s="362">
        <f>1350000+7350</f>
        <v>1357350</v>
      </c>
      <c r="H115" s="16">
        <f>157700+30547+10000+36000+2400+48850-7350+14180+28545+57334+87640+844352+175328+18449+29878+307036+164367+143946+17471+29740+153516+38300+721507+29010+4430+258352</f>
        <v>3401528</v>
      </c>
      <c r="I115" s="16"/>
      <c r="J115" s="81"/>
      <c r="K115" s="81"/>
      <c r="L115" s="81"/>
      <c r="M115" s="16"/>
      <c r="N115" s="81"/>
      <c r="O115" s="16"/>
      <c r="P115" s="16"/>
      <c r="Q115" s="16"/>
      <c r="R115" s="16"/>
      <c r="S115" s="16"/>
    </row>
    <row r="116" spans="1:19" s="19" customFormat="1" ht="21.75" customHeight="1">
      <c r="A116" s="445" t="s">
        <v>162</v>
      </c>
      <c r="B116" s="361" t="s">
        <v>37</v>
      </c>
      <c r="C116" s="319">
        <f>D116+E116</f>
        <v>421739812</v>
      </c>
      <c r="D116" s="319">
        <f>SUM(H116:S116)</f>
        <v>418659655</v>
      </c>
      <c r="E116" s="319">
        <f>E10+E41+E80</f>
        <v>3080157</v>
      </c>
      <c r="F116" s="319">
        <f>F10+F41+F80</f>
        <v>1357350</v>
      </c>
      <c r="H116" s="18">
        <f>H79+H80</f>
        <v>418659655</v>
      </c>
      <c r="I116" s="18">
        <f aca="true" t="shared" si="36" ref="I116:N116">I79+I80</f>
        <v>0</v>
      </c>
      <c r="J116" s="78">
        <f t="shared" si="36"/>
        <v>0</v>
      </c>
      <c r="K116" s="78">
        <f t="shared" si="36"/>
        <v>0</v>
      </c>
      <c r="L116" s="78">
        <f t="shared" si="36"/>
        <v>0</v>
      </c>
      <c r="M116" s="18">
        <f t="shared" si="36"/>
        <v>0</v>
      </c>
      <c r="N116" s="78">
        <f t="shared" si="36"/>
        <v>0</v>
      </c>
      <c r="O116" s="18">
        <f>O79+O80</f>
        <v>0</v>
      </c>
      <c r="P116" s="18">
        <f>P79+P80</f>
        <v>0</v>
      </c>
      <c r="Q116" s="18">
        <f>Q79+Q80</f>
        <v>0</v>
      </c>
      <c r="R116" s="18">
        <f>R79+R80</f>
        <v>0</v>
      </c>
      <c r="S116" s="18">
        <f>S79+S80</f>
        <v>0</v>
      </c>
    </row>
    <row r="117" spans="1:6" ht="15.75">
      <c r="A117" s="320"/>
      <c r="B117" s="320"/>
      <c r="C117" s="320"/>
      <c r="D117" s="320"/>
      <c r="E117" s="320"/>
      <c r="F117" s="320"/>
    </row>
    <row r="118" spans="1:6" s="59" customFormat="1" ht="16.5">
      <c r="A118" s="344" t="s">
        <v>5</v>
      </c>
      <c r="B118" s="345"/>
      <c r="C118" s="345"/>
      <c r="D118" s="345" t="s">
        <v>434</v>
      </c>
      <c r="E118" s="345"/>
      <c r="F118" s="346"/>
    </row>
    <row r="119" spans="1:6" ht="15.75">
      <c r="A119" s="320"/>
      <c r="B119" s="320"/>
      <c r="C119" s="320"/>
      <c r="D119" s="320"/>
      <c r="E119" s="320"/>
      <c r="F119" s="320"/>
    </row>
    <row r="120" spans="1:6" ht="15.75">
      <c r="A120" s="320"/>
      <c r="B120" s="320"/>
      <c r="C120" s="347">
        <f>C116-'Дод.3'!S108</f>
        <v>-15606279.830000043</v>
      </c>
      <c r="D120" s="324">
        <f>D116-'Дод.3'!H108</f>
        <v>-12297175.830000043</v>
      </c>
      <c r="E120" s="324">
        <f>E116-'Дод.3'!M108</f>
        <v>-3309104</v>
      </c>
      <c r="F120" s="324">
        <f>F116-'Дод.3'!N108</f>
        <v>-3289104</v>
      </c>
    </row>
    <row r="121" spans="1:6" ht="15.75">
      <c r="A121" s="320"/>
      <c r="B121" s="320"/>
      <c r="C121" s="320">
        <v>0</v>
      </c>
      <c r="D121" s="320"/>
      <c r="E121" s="324"/>
      <c r="F121" s="320"/>
    </row>
    <row r="122" spans="1:6" ht="15.75">
      <c r="A122" s="320"/>
      <c r="B122" s="321"/>
      <c r="C122" s="322"/>
      <c r="D122" s="323"/>
      <c r="E122" s="322"/>
      <c r="F122" s="322"/>
    </row>
    <row r="123" spans="1:6" ht="15.75">
      <c r="A123" s="320"/>
      <c r="B123" s="321"/>
      <c r="C123" s="321"/>
      <c r="D123" s="323"/>
      <c r="E123" s="321"/>
      <c r="F123" s="321"/>
    </row>
    <row r="124" spans="1:6" ht="15.75">
      <c r="A124" s="320"/>
      <c r="B124" s="320"/>
      <c r="C124" s="320"/>
      <c r="D124" s="320"/>
      <c r="E124" s="320"/>
      <c r="F124" s="320"/>
    </row>
    <row r="125" spans="1:6" ht="15.75">
      <c r="A125" s="320"/>
      <c r="B125" s="320"/>
      <c r="C125" s="320"/>
      <c r="D125" s="320"/>
      <c r="E125" s="320"/>
      <c r="F125" s="320"/>
    </row>
    <row r="126" spans="1:6" ht="15.75">
      <c r="A126" s="320"/>
      <c r="B126" s="320"/>
      <c r="C126" s="320"/>
      <c r="D126" s="320"/>
      <c r="E126" s="320"/>
      <c r="F126" s="320"/>
    </row>
    <row r="127" spans="1:6" ht="15.75">
      <c r="A127" s="320"/>
      <c r="B127" s="320"/>
      <c r="C127" s="320"/>
      <c r="D127" s="320"/>
      <c r="E127" s="324"/>
      <c r="F127" s="324"/>
    </row>
    <row r="128" spans="1:6" ht="15.75">
      <c r="A128" s="320"/>
      <c r="B128" s="320"/>
      <c r="C128" s="320"/>
      <c r="D128" s="320"/>
      <c r="E128" s="320"/>
      <c r="F128" s="320"/>
    </row>
    <row r="129" spans="1:6" ht="15.75">
      <c r="A129" s="320"/>
      <c r="B129" s="320"/>
      <c r="C129" s="320"/>
      <c r="D129" s="324"/>
      <c r="E129" s="320"/>
      <c r="F129" s="320"/>
    </row>
    <row r="130" spans="1:6" ht="15.75">
      <c r="A130" s="320"/>
      <c r="B130" s="320"/>
      <c r="C130" s="320"/>
      <c r="D130" s="320"/>
      <c r="E130" s="320"/>
      <c r="F130" s="320"/>
    </row>
    <row r="131" spans="1:6" ht="15.75">
      <c r="A131" s="320"/>
      <c r="B131" s="320"/>
      <c r="C131" s="320"/>
      <c r="D131" s="320"/>
      <c r="E131" s="320"/>
      <c r="F131" s="320"/>
    </row>
    <row r="132" spans="1:6" ht="15.75">
      <c r="A132" s="320"/>
      <c r="B132" s="320"/>
      <c r="C132" s="320"/>
      <c r="D132" s="320"/>
      <c r="E132" s="320"/>
      <c r="F132" s="320"/>
    </row>
    <row r="133" spans="1:6" ht="15.75">
      <c r="A133" s="320"/>
      <c r="B133" s="320"/>
      <c r="C133" s="320"/>
      <c r="D133" s="320"/>
      <c r="E133" s="320"/>
      <c r="F133" s="320"/>
    </row>
    <row r="134" spans="1:6" ht="15.75">
      <c r="A134" s="320"/>
      <c r="B134" s="320"/>
      <c r="C134" s="320"/>
      <c r="D134" s="320"/>
      <c r="E134" s="320"/>
      <c r="F134" s="320"/>
    </row>
    <row r="135" spans="1:6" ht="15.75">
      <c r="A135" s="320"/>
      <c r="B135" s="320"/>
      <c r="C135" s="320"/>
      <c r="D135" s="320"/>
      <c r="E135" s="320"/>
      <c r="F135" s="320"/>
    </row>
    <row r="136" spans="1:6" ht="15.75">
      <c r="A136" s="320"/>
      <c r="B136" s="320"/>
      <c r="C136" s="320"/>
      <c r="D136" s="320"/>
      <c r="E136" s="320"/>
      <c r="F136" s="320"/>
    </row>
    <row r="137" spans="1:6" ht="15.75">
      <c r="A137" s="320"/>
      <c r="B137" s="320"/>
      <c r="C137" s="320"/>
      <c r="D137" s="320"/>
      <c r="E137" s="320"/>
      <c r="F137" s="320"/>
    </row>
    <row r="138" spans="1:6" ht="15.75">
      <c r="A138" s="320"/>
      <c r="B138" s="320"/>
      <c r="C138" s="320"/>
      <c r="D138" s="320"/>
      <c r="E138" s="320"/>
      <c r="F138" s="320"/>
    </row>
    <row r="139" spans="1:6" ht="15.75">
      <c r="A139" s="320"/>
      <c r="B139" s="320"/>
      <c r="C139" s="320"/>
      <c r="D139" s="320"/>
      <c r="E139" s="320"/>
      <c r="F139" s="320"/>
    </row>
    <row r="140" spans="1:6" ht="15.75">
      <c r="A140" s="320"/>
      <c r="B140" s="320"/>
      <c r="C140" s="320"/>
      <c r="D140" s="320"/>
      <c r="E140" s="320"/>
      <c r="F140" s="320"/>
    </row>
    <row r="141" spans="1:6" ht="15.75">
      <c r="A141" s="320"/>
      <c r="B141" s="320"/>
      <c r="C141" s="320"/>
      <c r="D141" s="320"/>
      <c r="E141" s="320"/>
      <c r="F141" s="320"/>
    </row>
    <row r="142" spans="1:6" ht="15.75">
      <c r="A142" s="320"/>
      <c r="B142" s="320"/>
      <c r="C142" s="320"/>
      <c r="D142" s="320"/>
      <c r="E142" s="320"/>
      <c r="F142" s="320"/>
    </row>
    <row r="143" spans="1:6" ht="15.75">
      <c r="A143" s="320"/>
      <c r="B143" s="320"/>
      <c r="C143" s="320"/>
      <c r="D143" s="320"/>
      <c r="E143" s="320"/>
      <c r="F143" s="320"/>
    </row>
    <row r="144" spans="1:6" ht="15.75">
      <c r="A144" s="320"/>
      <c r="B144" s="320"/>
      <c r="C144" s="320"/>
      <c r="D144" s="320"/>
      <c r="E144" s="320"/>
      <c r="F144" s="320"/>
    </row>
    <row r="145" spans="1:6" ht="15.75">
      <c r="A145" s="320"/>
      <c r="B145" s="320"/>
      <c r="C145" s="320"/>
      <c r="D145" s="320"/>
      <c r="E145" s="320"/>
      <c r="F145" s="320"/>
    </row>
    <row r="146" spans="1:6" ht="15.75">
      <c r="A146" s="320"/>
      <c r="B146" s="320"/>
      <c r="C146" s="320"/>
      <c r="D146" s="320"/>
      <c r="E146" s="320"/>
      <c r="F146" s="320"/>
    </row>
    <row r="147" spans="1:6" ht="15.75">
      <c r="A147" s="320"/>
      <c r="B147" s="320"/>
      <c r="C147" s="320"/>
      <c r="D147" s="320"/>
      <c r="E147" s="320"/>
      <c r="F147" s="320"/>
    </row>
    <row r="148" spans="1:6" ht="15.75">
      <c r="A148" s="320"/>
      <c r="B148" s="320"/>
      <c r="C148" s="320"/>
      <c r="D148" s="320"/>
      <c r="E148" s="320"/>
      <c r="F148" s="320"/>
    </row>
    <row r="149" spans="1:6" ht="15.75">
      <c r="A149" s="320"/>
      <c r="B149" s="320"/>
      <c r="C149" s="320"/>
      <c r="D149" s="320"/>
      <c r="E149" s="320"/>
      <c r="F149" s="320"/>
    </row>
    <row r="150" spans="1:6" ht="15.75">
      <c r="A150" s="320"/>
      <c r="B150" s="320"/>
      <c r="C150" s="320"/>
      <c r="D150" s="320"/>
      <c r="E150" s="320"/>
      <c r="F150" s="320"/>
    </row>
    <row r="151" spans="1:6" ht="15.75">
      <c r="A151" s="320"/>
      <c r="B151" s="320"/>
      <c r="C151" s="320"/>
      <c r="D151" s="320"/>
      <c r="E151" s="320"/>
      <c r="F151" s="320"/>
    </row>
    <row r="152" spans="1:6" ht="15.75">
      <c r="A152" s="320"/>
      <c r="B152" s="320"/>
      <c r="C152" s="320"/>
      <c r="D152" s="320"/>
      <c r="E152" s="320"/>
      <c r="F152" s="320"/>
    </row>
    <row r="153" spans="1:6" ht="15.75">
      <c r="A153" s="320"/>
      <c r="B153" s="320"/>
      <c r="C153" s="320"/>
      <c r="D153" s="320"/>
      <c r="E153" s="320"/>
      <c r="F153" s="320"/>
    </row>
    <row r="154" spans="1:6" ht="15.75">
      <c r="A154" s="320"/>
      <c r="B154" s="320"/>
      <c r="C154" s="320"/>
      <c r="D154" s="320"/>
      <c r="E154" s="320"/>
      <c r="F154" s="320"/>
    </row>
    <row r="155" spans="1:6" ht="15.75">
      <c r="A155" s="320"/>
      <c r="B155" s="320"/>
      <c r="C155" s="320"/>
      <c r="D155" s="320"/>
      <c r="E155" s="320"/>
      <c r="F155" s="320"/>
    </row>
    <row r="156" spans="1:6" ht="15.75">
      <c r="A156" s="320"/>
      <c r="B156" s="320"/>
      <c r="C156" s="320"/>
      <c r="D156" s="320"/>
      <c r="E156" s="320"/>
      <c r="F156" s="320"/>
    </row>
    <row r="157" spans="1:6" ht="15.75">
      <c r="A157" s="320"/>
      <c r="B157" s="320"/>
      <c r="C157" s="320"/>
      <c r="D157" s="320"/>
      <c r="E157" s="320"/>
      <c r="F157" s="320"/>
    </row>
    <row r="158" spans="1:6" ht="15.75">
      <c r="A158" s="320"/>
      <c r="B158" s="320"/>
      <c r="C158" s="320"/>
      <c r="D158" s="320"/>
      <c r="E158" s="320"/>
      <c r="F158" s="320"/>
    </row>
    <row r="159" spans="1:6" ht="15.75">
      <c r="A159" s="320"/>
      <c r="B159" s="320"/>
      <c r="C159" s="320"/>
      <c r="D159" s="320"/>
      <c r="E159" s="320"/>
      <c r="F159" s="320"/>
    </row>
    <row r="160" spans="1:6" ht="15.75">
      <c r="A160" s="320"/>
      <c r="B160" s="320"/>
      <c r="C160" s="320"/>
      <c r="D160" s="320"/>
      <c r="E160" s="320"/>
      <c r="F160" s="320"/>
    </row>
    <row r="161" spans="1:6" ht="15.75">
      <c r="A161" s="320"/>
      <c r="B161" s="320"/>
      <c r="C161" s="320"/>
      <c r="D161" s="320"/>
      <c r="E161" s="320"/>
      <c r="F161" s="320"/>
    </row>
    <row r="162" spans="1:6" ht="15.75">
      <c r="A162" s="320"/>
      <c r="B162" s="320"/>
      <c r="C162" s="320"/>
      <c r="D162" s="320"/>
      <c r="E162" s="320"/>
      <c r="F162" s="320"/>
    </row>
    <row r="163" spans="1:6" ht="15.75">
      <c r="A163" s="320"/>
      <c r="B163" s="320"/>
      <c r="C163" s="320"/>
      <c r="D163" s="320"/>
      <c r="E163" s="320"/>
      <c r="F163" s="320"/>
    </row>
    <row r="164" spans="1:6" ht="15.75">
      <c r="A164" s="320"/>
      <c r="B164" s="320"/>
      <c r="C164" s="320"/>
      <c r="D164" s="320"/>
      <c r="E164" s="320"/>
      <c r="F164" s="320"/>
    </row>
    <row r="165" spans="1:6" ht="15.75">
      <c r="A165" s="320"/>
      <c r="B165" s="320"/>
      <c r="C165" s="320"/>
      <c r="D165" s="320"/>
      <c r="E165" s="320"/>
      <c r="F165" s="320"/>
    </row>
    <row r="166" spans="1:6" ht="15.75">
      <c r="A166" s="320"/>
      <c r="B166" s="320"/>
      <c r="C166" s="320"/>
      <c r="D166" s="320"/>
      <c r="E166" s="320"/>
      <c r="F166" s="320"/>
    </row>
    <row r="167" spans="1:6" ht="15.75">
      <c r="A167" s="320"/>
      <c r="B167" s="320"/>
      <c r="C167" s="320"/>
      <c r="D167" s="320"/>
      <c r="E167" s="320"/>
      <c r="F167" s="320"/>
    </row>
  </sheetData>
  <sheetProtection/>
  <mergeCells count="10">
    <mergeCell ref="D1:F1"/>
    <mergeCell ref="D2:F2"/>
    <mergeCell ref="D3:F3"/>
    <mergeCell ref="H7:S7"/>
    <mergeCell ref="A5:F5"/>
    <mergeCell ref="A7:A8"/>
    <mergeCell ref="B7:B8"/>
    <mergeCell ref="D7:D8"/>
    <mergeCell ref="E7:F7"/>
    <mergeCell ref="C7:C8"/>
  </mergeCells>
  <conditionalFormatting sqref="H100 E50:E63 E10:E48 F96 F101 F80:F81 E79:E115">
    <cfRule type="cellIs" priority="1" dxfId="0" operator="lessThan" stopIfTrue="1">
      <formula>F10</formula>
    </cfRule>
  </conditionalFormatting>
  <printOptions horizontalCentered="1"/>
  <pageMargins left="0.5118110236220472" right="0.3937007874015748" top="0.4724409448818898" bottom="0.3937007874015748" header="0.4724409448818898" footer="0.5118110236220472"/>
  <pageSetup fitToHeight="2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02"/>
  <sheetViews>
    <sheetView view="pageBreakPreview" zoomScale="70" zoomScaleNormal="75" zoomScaleSheetLayoutView="70" zoomScalePageLayoutView="0" workbookViewId="0" topLeftCell="A1">
      <selection activeCell="A69" sqref="A69:A84"/>
    </sheetView>
  </sheetViews>
  <sheetFormatPr defaultColWidth="9.00390625" defaultRowHeight="12.75"/>
  <cols>
    <col min="1" max="1" width="28.875" style="0" customWidth="1"/>
    <col min="2" max="2" width="59.625" style="0" customWidth="1"/>
    <col min="3" max="3" width="18.625" style="0" customWidth="1"/>
    <col min="4" max="4" width="20.875" style="0" customWidth="1"/>
    <col min="5" max="5" width="17.625" style="0" customWidth="1"/>
    <col min="6" max="6" width="10.75390625" style="0" bestFit="1" customWidth="1"/>
    <col min="7" max="7" width="12.375" style="0" bestFit="1" customWidth="1"/>
    <col min="8" max="8" width="13.25390625" style="0" customWidth="1"/>
  </cols>
  <sheetData>
    <row r="1" spans="1:5" ht="18.75">
      <c r="A1" s="221"/>
      <c r="B1" s="221"/>
      <c r="C1" s="891" t="s">
        <v>403</v>
      </c>
      <c r="D1" s="892"/>
      <c r="E1" s="116"/>
    </row>
    <row r="2" spans="1:5" ht="16.5">
      <c r="A2" s="222"/>
      <c r="B2" s="222"/>
      <c r="C2" s="891" t="s">
        <v>761</v>
      </c>
      <c r="D2" s="892"/>
      <c r="E2" s="892"/>
    </row>
    <row r="3" spans="1:5" ht="16.5">
      <c r="A3" s="222"/>
      <c r="B3" s="222"/>
      <c r="C3" s="891" t="str">
        <f>'Дод.1'!D3</f>
        <v>від                    №  </v>
      </c>
      <c r="D3" s="892"/>
      <c r="E3" s="892"/>
    </row>
    <row r="4" spans="1:5" ht="20.25">
      <c r="A4" s="805" t="s">
        <v>542</v>
      </c>
      <c r="B4" s="805"/>
      <c r="C4" s="805"/>
      <c r="D4" s="805"/>
      <c r="E4" s="805"/>
    </row>
    <row r="5" spans="1:5" ht="22.5">
      <c r="A5" s="205"/>
      <c r="B5" s="205"/>
      <c r="C5" s="205"/>
      <c r="D5" s="205"/>
      <c r="E5" s="197" t="s">
        <v>302</v>
      </c>
    </row>
    <row r="6" spans="1:5" ht="56.25">
      <c r="A6" s="200" t="s">
        <v>66</v>
      </c>
      <c r="B6" s="200" t="s">
        <v>62</v>
      </c>
      <c r="C6" s="200" t="s">
        <v>248</v>
      </c>
      <c r="D6" s="207" t="s">
        <v>522</v>
      </c>
      <c r="E6" s="207" t="s">
        <v>842</v>
      </c>
    </row>
    <row r="7" spans="1:5" ht="18.75">
      <c r="A7" s="200">
        <v>1</v>
      </c>
      <c r="B7" s="200">
        <v>2</v>
      </c>
      <c r="C7" s="200">
        <v>3</v>
      </c>
      <c r="D7" s="207">
        <v>4</v>
      </c>
      <c r="E7" s="207">
        <v>5</v>
      </c>
    </row>
    <row r="8" spans="1:5" ht="30.75" customHeight="1" hidden="1">
      <c r="A8" s="879" t="s">
        <v>872</v>
      </c>
      <c r="B8" s="456"/>
      <c r="C8" s="457">
        <f aca="true" t="shared" si="0" ref="C8:C18">D8+E8</f>
        <v>0</v>
      </c>
      <c r="D8" s="457"/>
      <c r="E8" s="161"/>
    </row>
    <row r="9" spans="1:5" ht="30.75" customHeight="1" hidden="1">
      <c r="A9" s="880"/>
      <c r="B9" s="456"/>
      <c r="C9" s="457">
        <f t="shared" si="0"/>
        <v>0</v>
      </c>
      <c r="D9" s="457"/>
      <c r="E9" s="161"/>
    </row>
    <row r="10" spans="1:5" ht="30.75" customHeight="1" hidden="1">
      <c r="A10" s="880"/>
      <c r="B10" s="456"/>
      <c r="C10" s="457">
        <f t="shared" si="0"/>
        <v>0</v>
      </c>
      <c r="D10" s="457"/>
      <c r="E10" s="161"/>
    </row>
    <row r="11" spans="1:5" ht="30.75" customHeight="1" hidden="1">
      <c r="A11" s="880"/>
      <c r="B11" s="456"/>
      <c r="C11" s="457">
        <f t="shared" si="0"/>
        <v>0</v>
      </c>
      <c r="D11" s="457"/>
      <c r="E11" s="161"/>
    </row>
    <row r="12" spans="1:5" ht="30.75" customHeight="1" hidden="1">
      <c r="A12" s="880"/>
      <c r="B12" s="456"/>
      <c r="C12" s="457">
        <f t="shared" si="0"/>
        <v>0</v>
      </c>
      <c r="D12" s="457"/>
      <c r="E12" s="161"/>
    </row>
    <row r="13" spans="1:5" ht="30.75" customHeight="1" hidden="1">
      <c r="A13" s="880"/>
      <c r="B13" s="456"/>
      <c r="C13" s="457">
        <f t="shared" si="0"/>
        <v>0</v>
      </c>
      <c r="D13" s="457"/>
      <c r="E13" s="161"/>
    </row>
    <row r="14" spans="1:5" ht="30.75" customHeight="1" hidden="1">
      <c r="A14" s="880"/>
      <c r="B14" s="456"/>
      <c r="C14" s="457">
        <f t="shared" si="0"/>
        <v>0</v>
      </c>
      <c r="D14" s="457"/>
      <c r="E14" s="161"/>
    </row>
    <row r="15" spans="1:5" ht="30.75" customHeight="1" hidden="1">
      <c r="A15" s="880"/>
      <c r="B15" s="456"/>
      <c r="C15" s="457">
        <f t="shared" si="0"/>
        <v>0</v>
      </c>
      <c r="D15" s="457"/>
      <c r="E15" s="161"/>
    </row>
    <row r="16" spans="1:5" ht="30.75" customHeight="1" hidden="1">
      <c r="A16" s="880"/>
      <c r="B16" s="456"/>
      <c r="C16" s="457">
        <f t="shared" si="0"/>
        <v>0</v>
      </c>
      <c r="D16" s="457"/>
      <c r="E16" s="161"/>
    </row>
    <row r="17" spans="1:5" ht="30.75" customHeight="1" hidden="1">
      <c r="A17" s="880"/>
      <c r="B17" s="456"/>
      <c r="C17" s="457">
        <f t="shared" si="0"/>
        <v>0</v>
      </c>
      <c r="D17" s="457"/>
      <c r="E17" s="161"/>
    </row>
    <row r="18" spans="1:5" ht="30.75" customHeight="1" hidden="1">
      <c r="A18" s="880"/>
      <c r="B18" s="456"/>
      <c r="C18" s="457">
        <f t="shared" si="0"/>
        <v>0</v>
      </c>
      <c r="D18" s="457"/>
      <c r="E18" s="161"/>
    </row>
    <row r="19" spans="1:5" ht="30.75" customHeight="1" hidden="1">
      <c r="A19" s="880"/>
      <c r="B19" s="456"/>
      <c r="C19" s="457">
        <f>D19+E19</f>
        <v>0</v>
      </c>
      <c r="D19" s="457"/>
      <c r="E19" s="161"/>
    </row>
    <row r="20" spans="1:5" ht="30.75" customHeight="1" hidden="1">
      <c r="A20" s="880"/>
      <c r="B20" s="456"/>
      <c r="C20" s="457">
        <f aca="true" t="shared" si="1" ref="C20:C37">D20+E20</f>
        <v>0</v>
      </c>
      <c r="D20" s="457"/>
      <c r="E20" s="161"/>
    </row>
    <row r="21" spans="1:5" ht="30.75" customHeight="1" hidden="1">
      <c r="A21" s="880"/>
      <c r="B21" s="456"/>
      <c r="C21" s="457">
        <f t="shared" si="1"/>
        <v>0</v>
      </c>
      <c r="D21" s="457"/>
      <c r="E21" s="161"/>
    </row>
    <row r="22" spans="1:5" ht="30.75" customHeight="1" hidden="1">
      <c r="A22" s="880"/>
      <c r="B22" s="456"/>
      <c r="C22" s="457">
        <f t="shared" si="1"/>
        <v>0</v>
      </c>
      <c r="D22" s="457"/>
      <c r="E22" s="161"/>
    </row>
    <row r="23" spans="1:5" ht="30.75" customHeight="1" hidden="1">
      <c r="A23" s="880"/>
      <c r="B23" s="456"/>
      <c r="C23" s="457">
        <f t="shared" si="1"/>
        <v>0</v>
      </c>
      <c r="D23" s="457"/>
      <c r="E23" s="161"/>
    </row>
    <row r="24" spans="1:5" ht="30.75" customHeight="1" hidden="1">
      <c r="A24" s="880"/>
      <c r="B24" s="456"/>
      <c r="C24" s="457">
        <f t="shared" si="1"/>
        <v>0</v>
      </c>
      <c r="D24" s="457"/>
      <c r="E24" s="161"/>
    </row>
    <row r="25" spans="1:5" ht="30.75" customHeight="1" hidden="1">
      <c r="A25" s="880"/>
      <c r="B25" s="456"/>
      <c r="C25" s="457">
        <f t="shared" si="1"/>
        <v>0</v>
      </c>
      <c r="D25" s="457"/>
      <c r="E25" s="161"/>
    </row>
    <row r="26" spans="1:5" ht="30.75" customHeight="1" hidden="1">
      <c r="A26" s="880"/>
      <c r="B26" s="456"/>
      <c r="C26" s="457">
        <f t="shared" si="1"/>
        <v>0</v>
      </c>
      <c r="D26" s="457"/>
      <c r="E26" s="161"/>
    </row>
    <row r="27" spans="1:5" ht="30.75" customHeight="1" hidden="1">
      <c r="A27" s="880"/>
      <c r="B27" s="456"/>
      <c r="C27" s="457">
        <f t="shared" si="1"/>
        <v>0</v>
      </c>
      <c r="D27" s="457"/>
      <c r="E27" s="161"/>
    </row>
    <row r="28" spans="1:5" ht="30.75" customHeight="1" hidden="1">
      <c r="A28" s="880"/>
      <c r="B28" s="456"/>
      <c r="C28" s="457">
        <f t="shared" si="1"/>
        <v>0</v>
      </c>
      <c r="D28" s="457"/>
      <c r="E28" s="161"/>
    </row>
    <row r="29" spans="1:5" ht="30.75" customHeight="1" hidden="1">
      <c r="A29" s="880"/>
      <c r="B29" s="456"/>
      <c r="C29" s="457">
        <f t="shared" si="1"/>
        <v>0</v>
      </c>
      <c r="D29" s="457"/>
      <c r="E29" s="161"/>
    </row>
    <row r="30" spans="1:5" ht="30.75" customHeight="1" hidden="1">
      <c r="A30" s="880"/>
      <c r="B30" s="456"/>
      <c r="C30" s="457">
        <f t="shared" si="1"/>
        <v>0</v>
      </c>
      <c r="D30" s="457"/>
      <c r="E30" s="161"/>
    </row>
    <row r="31" spans="1:5" ht="30.75" customHeight="1" hidden="1">
      <c r="A31" s="880"/>
      <c r="B31" s="456"/>
      <c r="C31" s="457">
        <f t="shared" si="1"/>
        <v>0</v>
      </c>
      <c r="D31" s="457"/>
      <c r="E31" s="161"/>
    </row>
    <row r="32" spans="1:5" ht="30.75" customHeight="1" hidden="1">
      <c r="A32" s="880"/>
      <c r="B32" s="456"/>
      <c r="C32" s="457">
        <f t="shared" si="1"/>
        <v>0</v>
      </c>
      <c r="D32" s="457"/>
      <c r="E32" s="161"/>
    </row>
    <row r="33" spans="1:5" ht="30.75" customHeight="1" hidden="1">
      <c r="A33" s="880"/>
      <c r="B33" s="456"/>
      <c r="C33" s="457">
        <f t="shared" si="1"/>
        <v>0</v>
      </c>
      <c r="D33" s="457"/>
      <c r="E33" s="161"/>
    </row>
    <row r="34" spans="1:5" ht="30.75" customHeight="1" hidden="1">
      <c r="A34" s="880"/>
      <c r="B34" s="456"/>
      <c r="C34" s="457">
        <f t="shared" si="1"/>
        <v>0</v>
      </c>
      <c r="D34" s="457"/>
      <c r="E34" s="161"/>
    </row>
    <row r="35" spans="1:5" ht="30.75" customHeight="1" hidden="1">
      <c r="A35" s="880"/>
      <c r="B35" s="456"/>
      <c r="C35" s="457">
        <f t="shared" si="1"/>
        <v>0</v>
      </c>
      <c r="D35" s="457"/>
      <c r="E35" s="161"/>
    </row>
    <row r="36" spans="1:5" ht="30.75" customHeight="1" hidden="1">
      <c r="A36" s="880"/>
      <c r="B36" s="456"/>
      <c r="C36" s="457">
        <f t="shared" si="1"/>
        <v>0</v>
      </c>
      <c r="D36" s="457"/>
      <c r="E36" s="161"/>
    </row>
    <row r="37" spans="1:5" ht="30.75" customHeight="1" hidden="1">
      <c r="A37" s="880"/>
      <c r="B37" s="456"/>
      <c r="C37" s="457">
        <f t="shared" si="1"/>
        <v>0</v>
      </c>
      <c r="D37" s="457"/>
      <c r="E37" s="161"/>
    </row>
    <row r="38" spans="1:5" ht="30.75" customHeight="1" hidden="1">
      <c r="A38" s="880"/>
      <c r="B38" s="307"/>
      <c r="C38" s="457">
        <f>D38+E38</f>
        <v>0</v>
      </c>
      <c r="D38" s="457"/>
      <c r="E38" s="161"/>
    </row>
    <row r="39" spans="1:5" ht="30.75" customHeight="1" hidden="1">
      <c r="A39" s="880"/>
      <c r="B39" s="307"/>
      <c r="C39" s="457">
        <f>D39+E39</f>
        <v>0</v>
      </c>
      <c r="D39" s="457"/>
      <c r="E39" s="161"/>
    </row>
    <row r="40" spans="1:5" ht="30.75" customHeight="1" hidden="1">
      <c r="A40" s="880"/>
      <c r="B40" s="307"/>
      <c r="C40" s="457">
        <f>D40+E40</f>
        <v>0</v>
      </c>
      <c r="D40" s="457"/>
      <c r="E40" s="161"/>
    </row>
    <row r="41" spans="1:5" ht="30.75" customHeight="1" hidden="1">
      <c r="A41" s="880"/>
      <c r="B41" s="307"/>
      <c r="C41" s="457">
        <f>D41+E41</f>
        <v>0</v>
      </c>
      <c r="D41" s="457"/>
      <c r="E41" s="161"/>
    </row>
    <row r="42" spans="1:5" ht="30.75" customHeight="1" hidden="1">
      <c r="A42" s="880"/>
      <c r="B42" s="307"/>
      <c r="C42" s="457">
        <f aca="true" t="shared" si="2" ref="C42:C48">D42+E42</f>
        <v>0</v>
      </c>
      <c r="D42" s="457"/>
      <c r="E42" s="161"/>
    </row>
    <row r="43" spans="1:5" ht="30.75" customHeight="1" hidden="1">
      <c r="A43" s="880"/>
      <c r="B43" s="307"/>
      <c r="C43" s="457">
        <f t="shared" si="2"/>
        <v>0</v>
      </c>
      <c r="D43" s="457"/>
      <c r="E43" s="161"/>
    </row>
    <row r="44" spans="1:5" ht="30.75" customHeight="1" hidden="1">
      <c r="A44" s="880"/>
      <c r="B44" s="307"/>
      <c r="C44" s="457">
        <f t="shared" si="2"/>
        <v>0</v>
      </c>
      <c r="D44" s="457"/>
      <c r="E44" s="161"/>
    </row>
    <row r="45" spans="1:5" ht="30.75" customHeight="1" hidden="1">
      <c r="A45" s="880"/>
      <c r="B45" s="307"/>
      <c r="C45" s="457">
        <f t="shared" si="2"/>
        <v>0</v>
      </c>
      <c r="D45" s="457"/>
      <c r="E45" s="161"/>
    </row>
    <row r="46" spans="1:5" ht="46.5" customHeight="1" hidden="1">
      <c r="A46" s="880"/>
      <c r="B46" s="307"/>
      <c r="C46" s="457">
        <f t="shared" si="2"/>
        <v>0</v>
      </c>
      <c r="D46" s="457"/>
      <c r="E46" s="161"/>
    </row>
    <row r="47" spans="1:5" ht="83.25" customHeight="1" hidden="1">
      <c r="A47" s="880"/>
      <c r="B47" s="307"/>
      <c r="C47" s="457">
        <f t="shared" si="2"/>
        <v>0</v>
      </c>
      <c r="D47" s="457"/>
      <c r="E47" s="161"/>
    </row>
    <row r="48" spans="1:5" ht="62.25" customHeight="1">
      <c r="A48" s="880"/>
      <c r="B48" s="458" t="s">
        <v>797</v>
      </c>
      <c r="C48" s="457">
        <f t="shared" si="2"/>
        <v>1000000</v>
      </c>
      <c r="D48" s="457"/>
      <c r="E48" s="161">
        <v>1000000</v>
      </c>
    </row>
    <row r="49" spans="1:5" ht="61.5" customHeight="1">
      <c r="A49" s="880"/>
      <c r="B49" s="307" t="s">
        <v>798</v>
      </c>
      <c r="C49" s="457">
        <f>D49+E49</f>
        <v>157700</v>
      </c>
      <c r="D49" s="457">
        <v>157700</v>
      </c>
      <c r="E49" s="161"/>
    </row>
    <row r="50" spans="1:5" ht="81" customHeight="1">
      <c r="A50" s="880"/>
      <c r="B50" s="307" t="s">
        <v>799</v>
      </c>
      <c r="C50" s="457">
        <f>D50+E50</f>
        <v>350000</v>
      </c>
      <c r="D50" s="457"/>
      <c r="E50" s="161">
        <v>350000</v>
      </c>
    </row>
    <row r="51" spans="1:7" ht="30.75" customHeight="1">
      <c r="A51" s="881"/>
      <c r="B51" s="459" t="s">
        <v>843</v>
      </c>
      <c r="C51" s="164">
        <f aca="true" t="shared" si="3" ref="C51:C56">D51+E51</f>
        <v>1507700</v>
      </c>
      <c r="D51" s="164">
        <f>SUM(D8:D50)</f>
        <v>157700</v>
      </c>
      <c r="E51" s="164">
        <f>SUM(E8:E50)</f>
        <v>1350000</v>
      </c>
      <c r="F51" s="162"/>
      <c r="G51" s="162"/>
    </row>
    <row r="52" spans="1:5" ht="30.75" customHeight="1" hidden="1">
      <c r="A52" s="877" t="s">
        <v>476</v>
      </c>
      <c r="B52" s="307"/>
      <c r="C52" s="161">
        <f t="shared" si="3"/>
        <v>0</v>
      </c>
      <c r="D52" s="161"/>
      <c r="E52" s="161"/>
    </row>
    <row r="53" spans="1:5" ht="30.75" customHeight="1" hidden="1">
      <c r="A53" s="883"/>
      <c r="B53" s="307"/>
      <c r="C53" s="161">
        <f t="shared" si="3"/>
        <v>0</v>
      </c>
      <c r="D53" s="161"/>
      <c r="E53" s="161"/>
    </row>
    <row r="54" spans="1:5" ht="30.75" customHeight="1" hidden="1">
      <c r="A54" s="883"/>
      <c r="B54" s="307"/>
      <c r="C54" s="161">
        <f t="shared" si="3"/>
        <v>0</v>
      </c>
      <c r="D54" s="161"/>
      <c r="E54" s="161"/>
    </row>
    <row r="55" spans="1:5" ht="30.75" customHeight="1" hidden="1">
      <c r="A55" s="878"/>
      <c r="B55" s="459" t="s">
        <v>843</v>
      </c>
      <c r="C55" s="164">
        <f t="shared" si="3"/>
        <v>0</v>
      </c>
      <c r="D55" s="164">
        <f>SUM(D52:D54)</f>
        <v>0</v>
      </c>
      <c r="E55" s="164">
        <f>SUM(E52:E54)</f>
        <v>0</v>
      </c>
    </row>
    <row r="56" spans="1:6" ht="30.75" customHeight="1" hidden="1">
      <c r="A56" s="879" t="s">
        <v>820</v>
      </c>
      <c r="B56" s="307"/>
      <c r="C56" s="161">
        <f t="shared" si="3"/>
        <v>0</v>
      </c>
      <c r="D56" s="161"/>
      <c r="E56" s="161"/>
      <c r="F56" s="162"/>
    </row>
    <row r="57" spans="1:5" ht="30.75" customHeight="1" hidden="1">
      <c r="A57" s="880"/>
      <c r="B57" s="307"/>
      <c r="C57" s="161">
        <f>D57+E57</f>
        <v>0</v>
      </c>
      <c r="D57" s="161"/>
      <c r="E57" s="161"/>
    </row>
    <row r="58" spans="1:7" ht="39" customHeight="1">
      <c r="A58" s="880"/>
      <c r="B58" s="307" t="s">
        <v>623</v>
      </c>
      <c r="C58" s="161">
        <f>D58+E58</f>
        <v>30547</v>
      </c>
      <c r="D58" s="161">
        <v>30547</v>
      </c>
      <c r="E58" s="161"/>
      <c r="G58" s="162">
        <f>D58</f>
        <v>30547</v>
      </c>
    </row>
    <row r="59" spans="1:5" ht="30.75" customHeight="1">
      <c r="A59" s="881"/>
      <c r="B59" s="459" t="s">
        <v>843</v>
      </c>
      <c r="C59" s="164">
        <f aca="true" t="shared" si="4" ref="C59:C68">D59+E59</f>
        <v>30547</v>
      </c>
      <c r="D59" s="164">
        <f>SUM(D56:D58)</f>
        <v>30547</v>
      </c>
      <c r="E59" s="164">
        <f>SUM(E56:E58)</f>
        <v>0</v>
      </c>
    </row>
    <row r="60" spans="1:5" ht="30.75" customHeight="1" hidden="1">
      <c r="A60" s="884" t="s">
        <v>821</v>
      </c>
      <c r="B60" s="307"/>
      <c r="C60" s="429">
        <f t="shared" si="4"/>
        <v>0</v>
      </c>
      <c r="D60" s="429"/>
      <c r="E60" s="429"/>
    </row>
    <row r="61" spans="1:5" ht="30.75" customHeight="1" hidden="1">
      <c r="A61" s="885"/>
      <c r="B61" s="307"/>
      <c r="C61" s="429">
        <f>D61+E61</f>
        <v>0</v>
      </c>
      <c r="D61" s="429"/>
      <c r="E61" s="429"/>
    </row>
    <row r="62" spans="1:5" ht="30.75" customHeight="1" hidden="1">
      <c r="A62" s="885"/>
      <c r="B62" s="307"/>
      <c r="C62" s="429">
        <f>D62+E62</f>
        <v>0</v>
      </c>
      <c r="D62" s="429"/>
      <c r="E62" s="429"/>
    </row>
    <row r="63" spans="1:8" ht="61.5" customHeight="1">
      <c r="A63" s="885"/>
      <c r="B63" s="307" t="s">
        <v>622</v>
      </c>
      <c r="C63" s="429">
        <f t="shared" si="4"/>
        <v>10000</v>
      </c>
      <c r="D63" s="429">
        <v>10000</v>
      </c>
      <c r="E63" s="429"/>
      <c r="H63" s="162">
        <f>D63</f>
        <v>10000</v>
      </c>
    </row>
    <row r="64" spans="1:5" ht="30.75" customHeight="1">
      <c r="A64" s="886"/>
      <c r="B64" s="459" t="s">
        <v>843</v>
      </c>
      <c r="C64" s="164">
        <f t="shared" si="4"/>
        <v>10000</v>
      </c>
      <c r="D64" s="164">
        <f>SUM(D60:D63)</f>
        <v>10000</v>
      </c>
      <c r="E64" s="164">
        <f>SUM(E60:E63)</f>
        <v>0</v>
      </c>
    </row>
    <row r="65" spans="1:5" ht="30.75" customHeight="1" hidden="1">
      <c r="A65" s="882" t="s">
        <v>250</v>
      </c>
      <c r="B65" s="307"/>
      <c r="C65" s="429">
        <f t="shared" si="4"/>
        <v>0</v>
      </c>
      <c r="D65" s="161"/>
      <c r="E65" s="161"/>
    </row>
    <row r="66" spans="1:5" ht="30.75" customHeight="1" hidden="1">
      <c r="A66" s="882"/>
      <c r="B66" s="456"/>
      <c r="C66" s="429">
        <f t="shared" si="4"/>
        <v>0</v>
      </c>
      <c r="D66" s="161"/>
      <c r="E66" s="161"/>
    </row>
    <row r="67" spans="1:5" ht="30.75" customHeight="1" hidden="1">
      <c r="A67" s="882"/>
      <c r="B67" s="456"/>
      <c r="C67" s="429">
        <f t="shared" si="4"/>
        <v>0</v>
      </c>
      <c r="D67" s="161"/>
      <c r="E67" s="161"/>
    </row>
    <row r="68" spans="1:5" ht="30.75" customHeight="1" hidden="1">
      <c r="A68" s="882"/>
      <c r="B68" s="459" t="s">
        <v>843</v>
      </c>
      <c r="C68" s="164">
        <f t="shared" si="4"/>
        <v>0</v>
      </c>
      <c r="D68" s="164">
        <f>SUM(D65:D67)</f>
        <v>0</v>
      </c>
      <c r="E68" s="164">
        <f>SUM(E65:E67)</f>
        <v>0</v>
      </c>
    </row>
    <row r="69" spans="1:5" ht="30.75" customHeight="1" hidden="1">
      <c r="A69" s="879" t="s">
        <v>873</v>
      </c>
      <c r="B69" s="307"/>
      <c r="C69" s="161">
        <f aca="true" t="shared" si="5" ref="C69:C83">D69+E69</f>
        <v>0</v>
      </c>
      <c r="D69" s="161"/>
      <c r="E69" s="161"/>
    </row>
    <row r="70" spans="1:5" ht="30.75" customHeight="1" hidden="1">
      <c r="A70" s="880"/>
      <c r="B70" s="307"/>
      <c r="C70" s="161">
        <f t="shared" si="5"/>
        <v>0</v>
      </c>
      <c r="D70" s="161"/>
      <c r="E70" s="161"/>
    </row>
    <row r="71" spans="1:5" ht="30.75" customHeight="1" hidden="1">
      <c r="A71" s="880"/>
      <c r="B71" s="307"/>
      <c r="C71" s="161">
        <f>D71+E71</f>
        <v>0</v>
      </c>
      <c r="D71" s="161"/>
      <c r="E71" s="161"/>
    </row>
    <row r="72" spans="1:5" ht="30.75" customHeight="1" hidden="1">
      <c r="A72" s="880"/>
      <c r="B72" s="307"/>
      <c r="C72" s="161">
        <f t="shared" si="5"/>
        <v>0</v>
      </c>
      <c r="D72" s="161"/>
      <c r="E72" s="161"/>
    </row>
    <row r="73" spans="1:5" ht="30.75" customHeight="1" hidden="1">
      <c r="A73" s="880"/>
      <c r="B73" s="307"/>
      <c r="C73" s="161">
        <f t="shared" si="5"/>
        <v>0</v>
      </c>
      <c r="D73" s="161"/>
      <c r="E73" s="161"/>
    </row>
    <row r="74" spans="1:5" ht="30.75" customHeight="1" hidden="1">
      <c r="A74" s="880"/>
      <c r="B74" s="307"/>
      <c r="C74" s="161">
        <f>D74+E74</f>
        <v>0</v>
      </c>
      <c r="D74" s="161"/>
      <c r="E74" s="161"/>
    </row>
    <row r="75" spans="1:5" ht="30.75" customHeight="1" hidden="1">
      <c r="A75" s="880"/>
      <c r="B75" s="307"/>
      <c r="C75" s="161">
        <f t="shared" si="5"/>
        <v>0</v>
      </c>
      <c r="D75" s="161"/>
      <c r="E75" s="161"/>
    </row>
    <row r="76" spans="1:5" ht="30.75" customHeight="1" hidden="1">
      <c r="A76" s="880"/>
      <c r="B76" s="460"/>
      <c r="C76" s="161">
        <f t="shared" si="5"/>
        <v>0</v>
      </c>
      <c r="D76" s="161"/>
      <c r="E76" s="161"/>
    </row>
    <row r="77" spans="1:5" ht="39" customHeight="1">
      <c r="A77" s="880"/>
      <c r="B77" s="227" t="s">
        <v>573</v>
      </c>
      <c r="C77" s="113">
        <f t="shared" si="5"/>
        <v>143946</v>
      </c>
      <c r="D77" s="113">
        <v>143946</v>
      </c>
      <c r="E77" s="113"/>
    </row>
    <row r="78" spans="1:5" ht="72" customHeight="1">
      <c r="A78" s="880"/>
      <c r="B78" s="227" t="s">
        <v>574</v>
      </c>
      <c r="C78" s="113">
        <f t="shared" si="5"/>
        <v>22180</v>
      </c>
      <c r="D78" s="113">
        <v>22180</v>
      </c>
      <c r="E78" s="113"/>
    </row>
    <row r="79" spans="1:5" ht="66" customHeight="1">
      <c r="A79" s="880"/>
      <c r="B79" s="227" t="s">
        <v>572</v>
      </c>
      <c r="C79" s="113">
        <f t="shared" si="5"/>
        <v>142187</v>
      </c>
      <c r="D79" s="113">
        <v>142187</v>
      </c>
      <c r="E79" s="113"/>
    </row>
    <row r="80" spans="1:5" ht="78.75" customHeight="1">
      <c r="A80" s="880"/>
      <c r="B80" s="227" t="s">
        <v>571</v>
      </c>
      <c r="C80" s="113">
        <f t="shared" si="5"/>
        <v>307036</v>
      </c>
      <c r="D80" s="113">
        <v>307036</v>
      </c>
      <c r="E80" s="113"/>
    </row>
    <row r="81" spans="1:5" ht="123" customHeight="1">
      <c r="A81" s="880"/>
      <c r="B81" s="227" t="s">
        <v>570</v>
      </c>
      <c r="C81" s="113">
        <f t="shared" si="5"/>
        <v>29878</v>
      </c>
      <c r="D81" s="113">
        <v>29878</v>
      </c>
      <c r="E81" s="113"/>
    </row>
    <row r="82" spans="1:5" ht="69.75" customHeight="1">
      <c r="A82" s="880"/>
      <c r="B82" s="227" t="s">
        <v>567</v>
      </c>
      <c r="C82" s="113">
        <f t="shared" si="5"/>
        <v>564</v>
      </c>
      <c r="D82" s="113">
        <v>564</v>
      </c>
      <c r="E82" s="113"/>
    </row>
    <row r="83" spans="1:5" ht="63" customHeight="1">
      <c r="A83" s="880"/>
      <c r="B83" s="227" t="s">
        <v>568</v>
      </c>
      <c r="C83" s="113">
        <f t="shared" si="5"/>
        <v>17885</v>
      </c>
      <c r="D83" s="113">
        <v>17885</v>
      </c>
      <c r="E83" s="113"/>
    </row>
    <row r="84" spans="1:5" ht="30.75" customHeight="1">
      <c r="A84" s="881"/>
      <c r="B84" s="549" t="s">
        <v>843</v>
      </c>
      <c r="C84" s="124">
        <f aca="true" t="shared" si="6" ref="C84:C95">D84+E84</f>
        <v>663676</v>
      </c>
      <c r="D84" s="124">
        <f>SUM(D69:D83)</f>
        <v>663676</v>
      </c>
      <c r="E84" s="124">
        <f>SUM(E69:E83)</f>
        <v>0</v>
      </c>
    </row>
    <row r="85" spans="1:5" ht="30.75" customHeight="1" hidden="1">
      <c r="A85" s="877" t="s">
        <v>477</v>
      </c>
      <c r="B85" s="307"/>
      <c r="C85" s="461">
        <f t="shared" si="6"/>
        <v>0</v>
      </c>
      <c r="D85" s="161"/>
      <c r="E85" s="161"/>
    </row>
    <row r="86" spans="1:5" ht="30.75" customHeight="1" hidden="1">
      <c r="A86" s="883"/>
      <c r="B86" s="307"/>
      <c r="C86" s="461">
        <f t="shared" si="6"/>
        <v>0</v>
      </c>
      <c r="D86" s="161"/>
      <c r="E86" s="161"/>
    </row>
    <row r="87" spans="1:5" ht="30.75" customHeight="1" hidden="1">
      <c r="A87" s="883"/>
      <c r="B87" s="307"/>
      <c r="C87" s="461">
        <f t="shared" si="6"/>
        <v>0</v>
      </c>
      <c r="D87" s="161"/>
      <c r="E87" s="161"/>
    </row>
    <row r="88" spans="1:5" ht="30.75" customHeight="1" hidden="1">
      <c r="A88" s="878"/>
      <c r="B88" s="459" t="s">
        <v>843</v>
      </c>
      <c r="C88" s="164">
        <f t="shared" si="6"/>
        <v>0</v>
      </c>
      <c r="D88" s="462">
        <f>SUM(D85:D87)</f>
        <v>0</v>
      </c>
      <c r="E88" s="462">
        <f>SUM(E85:E87)</f>
        <v>0</v>
      </c>
    </row>
    <row r="89" spans="1:5" ht="30.75" customHeight="1" hidden="1">
      <c r="A89" s="877" t="s">
        <v>479</v>
      </c>
      <c r="B89" s="307"/>
      <c r="C89" s="461">
        <f t="shared" si="6"/>
        <v>0</v>
      </c>
      <c r="D89" s="461"/>
      <c r="E89" s="461"/>
    </row>
    <row r="90" spans="1:5" ht="30.75" customHeight="1" hidden="1">
      <c r="A90" s="883"/>
      <c r="B90" s="307"/>
      <c r="C90" s="461">
        <f t="shared" si="6"/>
        <v>0</v>
      </c>
      <c r="D90" s="461"/>
      <c r="E90" s="461"/>
    </row>
    <row r="91" spans="1:5" ht="30.75" customHeight="1" hidden="1">
      <c r="A91" s="883"/>
      <c r="B91" s="307"/>
      <c r="C91" s="461">
        <f t="shared" si="6"/>
        <v>0</v>
      </c>
      <c r="D91" s="461"/>
      <c r="E91" s="461"/>
    </row>
    <row r="92" spans="1:5" ht="30.75" customHeight="1" hidden="1">
      <c r="A92" s="883"/>
      <c r="B92" s="307"/>
      <c r="C92" s="461">
        <f t="shared" si="6"/>
        <v>0</v>
      </c>
      <c r="D92" s="461"/>
      <c r="E92" s="461"/>
    </row>
    <row r="93" spans="1:5" ht="30.75" customHeight="1" hidden="1">
      <c r="A93" s="883"/>
      <c r="B93" s="307"/>
      <c r="C93" s="461">
        <f>D93+E93</f>
        <v>0</v>
      </c>
      <c r="D93" s="461"/>
      <c r="E93" s="461"/>
    </row>
    <row r="94" spans="1:5" ht="30.75" customHeight="1" hidden="1">
      <c r="A94" s="883"/>
      <c r="B94" s="307"/>
      <c r="C94" s="461">
        <f t="shared" si="6"/>
        <v>0</v>
      </c>
      <c r="D94" s="461"/>
      <c r="E94" s="461"/>
    </row>
    <row r="95" spans="1:5" ht="30.75" customHeight="1" hidden="1">
      <c r="A95" s="878"/>
      <c r="B95" s="459" t="s">
        <v>843</v>
      </c>
      <c r="C95" s="164">
        <f t="shared" si="6"/>
        <v>0</v>
      </c>
      <c r="D95" s="462">
        <f>SUM(D89:D94)</f>
        <v>0</v>
      </c>
      <c r="E95" s="462">
        <f>SUM(E89:E94)</f>
        <v>0</v>
      </c>
    </row>
    <row r="96" spans="1:5" ht="30.75" customHeight="1" hidden="1">
      <c r="A96" s="877" t="s">
        <v>482</v>
      </c>
      <c r="B96" s="307"/>
      <c r="C96" s="461">
        <f aca="true" t="shared" si="7" ref="C96:C165">D96+E96</f>
        <v>0</v>
      </c>
      <c r="D96" s="161"/>
      <c r="E96" s="164"/>
    </row>
    <row r="97" spans="1:5" ht="30.75" customHeight="1" hidden="1">
      <c r="A97" s="883"/>
      <c r="B97" s="307"/>
      <c r="C97" s="461">
        <f t="shared" si="7"/>
        <v>0</v>
      </c>
      <c r="D97" s="161"/>
      <c r="E97" s="164"/>
    </row>
    <row r="98" spans="1:5" ht="30.75" customHeight="1" hidden="1">
      <c r="A98" s="883"/>
      <c r="B98" s="307"/>
      <c r="C98" s="461">
        <f t="shared" si="7"/>
        <v>0</v>
      </c>
      <c r="D98" s="161"/>
      <c r="E98" s="164"/>
    </row>
    <row r="99" spans="1:5" ht="30.75" customHeight="1" hidden="1">
      <c r="A99" s="878"/>
      <c r="B99" s="459" t="s">
        <v>843</v>
      </c>
      <c r="C99" s="164">
        <f t="shared" si="7"/>
        <v>0</v>
      </c>
      <c r="D99" s="164">
        <f>SUM(D96:D98)</f>
        <v>0</v>
      </c>
      <c r="E99" s="164">
        <f>SUM(E96:E98)</f>
        <v>0</v>
      </c>
    </row>
    <row r="100" spans="1:5" ht="30.75" customHeight="1" hidden="1">
      <c r="A100" s="877" t="s">
        <v>480</v>
      </c>
      <c r="B100" s="307"/>
      <c r="C100" s="461">
        <f t="shared" si="7"/>
        <v>0</v>
      </c>
      <c r="D100" s="161"/>
      <c r="E100" s="161"/>
    </row>
    <row r="101" spans="1:5" ht="30.75" customHeight="1" hidden="1">
      <c r="A101" s="883"/>
      <c r="B101" s="307"/>
      <c r="C101" s="461">
        <f>D101+E101</f>
        <v>0</v>
      </c>
      <c r="D101" s="161"/>
      <c r="E101" s="161"/>
    </row>
    <row r="102" spans="1:5" ht="30.75" customHeight="1" hidden="1">
      <c r="A102" s="883"/>
      <c r="B102" s="307"/>
      <c r="C102" s="461">
        <f t="shared" si="7"/>
        <v>0</v>
      </c>
      <c r="D102" s="161"/>
      <c r="E102" s="161"/>
    </row>
    <row r="103" spans="1:5" ht="30.75" customHeight="1" hidden="1">
      <c r="A103" s="889"/>
      <c r="B103" s="463" t="s">
        <v>843</v>
      </c>
      <c r="C103" s="164">
        <f t="shared" si="7"/>
        <v>0</v>
      </c>
      <c r="D103" s="462">
        <f>SUM(D100:D102)</f>
        <v>0</v>
      </c>
      <c r="E103" s="462">
        <f>SUM(E100:E102)</f>
        <v>0</v>
      </c>
    </row>
    <row r="104" spans="1:10" ht="30.75" customHeight="1" hidden="1">
      <c r="A104" s="883" t="s">
        <v>481</v>
      </c>
      <c r="B104" s="307"/>
      <c r="C104" s="461">
        <f t="shared" si="7"/>
        <v>0</v>
      </c>
      <c r="D104" s="464"/>
      <c r="E104" s="464"/>
      <c r="H104" s="254"/>
      <c r="I104" s="88"/>
      <c r="J104" s="88"/>
    </row>
    <row r="105" spans="1:10" ht="30.75" customHeight="1" hidden="1">
      <c r="A105" s="883"/>
      <c r="B105" s="307"/>
      <c r="C105" s="461">
        <f t="shared" si="7"/>
        <v>0</v>
      </c>
      <c r="D105" s="464"/>
      <c r="E105" s="464"/>
      <c r="H105" s="254"/>
      <c r="I105" s="88"/>
      <c r="J105" s="88"/>
    </row>
    <row r="106" spans="1:10" ht="30.75" customHeight="1" hidden="1">
      <c r="A106" s="883"/>
      <c r="B106" s="307"/>
      <c r="C106" s="461">
        <f t="shared" si="7"/>
        <v>0</v>
      </c>
      <c r="D106" s="464"/>
      <c r="E106" s="464"/>
      <c r="H106" s="254"/>
      <c r="I106" s="88"/>
      <c r="J106" s="88"/>
    </row>
    <row r="107" spans="1:10" ht="30.75" customHeight="1" hidden="1">
      <c r="A107" s="883"/>
      <c r="B107" s="307"/>
      <c r="C107" s="461">
        <f>D107+E107</f>
        <v>0</v>
      </c>
      <c r="D107" s="464"/>
      <c r="E107" s="464"/>
      <c r="H107" s="254"/>
      <c r="I107" s="88"/>
      <c r="J107" s="88"/>
    </row>
    <row r="108" spans="1:10" ht="30.75" customHeight="1" hidden="1">
      <c r="A108" s="883"/>
      <c r="B108" s="307"/>
      <c r="C108" s="461">
        <f t="shared" si="7"/>
        <v>0</v>
      </c>
      <c r="D108" s="464"/>
      <c r="E108" s="464"/>
      <c r="H108" s="254"/>
      <c r="I108" s="88"/>
      <c r="J108" s="88"/>
    </row>
    <row r="109" spans="1:10" ht="30.75" customHeight="1" hidden="1">
      <c r="A109" s="883"/>
      <c r="B109" s="307"/>
      <c r="C109" s="461">
        <f t="shared" si="7"/>
        <v>0</v>
      </c>
      <c r="D109" s="464"/>
      <c r="E109" s="464"/>
      <c r="H109" s="254"/>
      <c r="I109" s="88"/>
      <c r="J109" s="88"/>
    </row>
    <row r="110" spans="1:10" ht="30.75" customHeight="1" hidden="1">
      <c r="A110" s="883"/>
      <c r="B110" s="307"/>
      <c r="C110" s="461">
        <f t="shared" si="7"/>
        <v>0</v>
      </c>
      <c r="D110" s="464"/>
      <c r="E110" s="464"/>
      <c r="H110" s="254"/>
      <c r="I110" s="88"/>
      <c r="J110" s="88"/>
    </row>
    <row r="111" spans="1:10" ht="30.75" customHeight="1" hidden="1">
      <c r="A111" s="883"/>
      <c r="B111" s="307"/>
      <c r="C111" s="461">
        <f t="shared" si="7"/>
        <v>0</v>
      </c>
      <c r="D111" s="464"/>
      <c r="E111" s="464"/>
      <c r="H111" s="254"/>
      <c r="I111" s="88"/>
      <c r="J111" s="88"/>
    </row>
    <row r="112" spans="1:10" ht="30.75" customHeight="1" hidden="1">
      <c r="A112" s="883"/>
      <c r="B112" s="307"/>
      <c r="C112" s="461">
        <f t="shared" si="7"/>
        <v>0</v>
      </c>
      <c r="D112" s="464"/>
      <c r="E112" s="464"/>
      <c r="H112" s="254"/>
      <c r="I112" s="88"/>
      <c r="J112" s="88"/>
    </row>
    <row r="113" spans="1:10" ht="30.75" customHeight="1" hidden="1">
      <c r="A113" s="883"/>
      <c r="B113" s="307"/>
      <c r="C113" s="461">
        <f t="shared" si="7"/>
        <v>0</v>
      </c>
      <c r="D113" s="464"/>
      <c r="E113" s="464"/>
      <c r="H113" s="254"/>
      <c r="I113" s="88"/>
      <c r="J113" s="88"/>
    </row>
    <row r="114" spans="1:10" ht="30.75" customHeight="1" hidden="1">
      <c r="A114" s="883"/>
      <c r="B114" s="307"/>
      <c r="C114" s="461">
        <f t="shared" si="7"/>
        <v>0</v>
      </c>
      <c r="D114" s="464"/>
      <c r="E114" s="464"/>
      <c r="H114" s="254"/>
      <c r="I114" s="88"/>
      <c r="J114" s="88"/>
    </row>
    <row r="115" spans="1:10" ht="30.75" customHeight="1" hidden="1">
      <c r="A115" s="883"/>
      <c r="B115" s="307"/>
      <c r="C115" s="461">
        <f t="shared" si="7"/>
        <v>0</v>
      </c>
      <c r="D115" s="464"/>
      <c r="E115" s="464"/>
      <c r="H115" s="254"/>
      <c r="I115" s="88"/>
      <c r="J115" s="88"/>
    </row>
    <row r="116" spans="1:10" ht="30.75" customHeight="1" hidden="1">
      <c r="A116" s="883"/>
      <c r="B116" s="307"/>
      <c r="C116" s="461">
        <f>D116+E116</f>
        <v>0</v>
      </c>
      <c r="D116" s="464"/>
      <c r="E116" s="464"/>
      <c r="H116" s="254"/>
      <c r="I116" s="88"/>
      <c r="J116" s="88"/>
    </row>
    <row r="117" spans="1:10" ht="30.75" customHeight="1" hidden="1">
      <c r="A117" s="883"/>
      <c r="B117" s="307"/>
      <c r="C117" s="461">
        <f>D117+E117</f>
        <v>0</v>
      </c>
      <c r="D117" s="464"/>
      <c r="E117" s="464"/>
      <c r="H117" s="254"/>
      <c r="I117" s="88"/>
      <c r="J117" s="88"/>
    </row>
    <row r="118" spans="1:10" ht="30.75" customHeight="1" hidden="1">
      <c r="A118" s="883"/>
      <c r="B118" s="307"/>
      <c r="C118" s="461">
        <f>D118+E118</f>
        <v>0</v>
      </c>
      <c r="D118" s="464"/>
      <c r="E118" s="464"/>
      <c r="H118" s="254"/>
      <c r="I118" s="88"/>
      <c r="J118" s="88"/>
    </row>
    <row r="119" spans="1:10" ht="30.75" customHeight="1" hidden="1">
      <c r="A119" s="883"/>
      <c r="B119" s="307"/>
      <c r="C119" s="461">
        <f t="shared" si="7"/>
        <v>0</v>
      </c>
      <c r="D119" s="464"/>
      <c r="E119" s="464"/>
      <c r="H119" s="254"/>
      <c r="I119" s="88"/>
      <c r="J119" s="88"/>
    </row>
    <row r="120" spans="1:10" ht="30.75" customHeight="1" hidden="1">
      <c r="A120" s="883"/>
      <c r="B120" s="307"/>
      <c r="C120" s="461">
        <f t="shared" si="7"/>
        <v>0</v>
      </c>
      <c r="D120" s="464"/>
      <c r="E120" s="464"/>
      <c r="H120" s="254"/>
      <c r="I120" s="88"/>
      <c r="J120" s="88"/>
    </row>
    <row r="121" spans="1:10" ht="30.75" customHeight="1" hidden="1">
      <c r="A121" s="883"/>
      <c r="B121" s="307"/>
      <c r="C121" s="461">
        <f t="shared" si="7"/>
        <v>0</v>
      </c>
      <c r="D121" s="464"/>
      <c r="E121" s="464"/>
      <c r="H121" s="254"/>
      <c r="I121" s="88"/>
      <c r="J121" s="88"/>
    </row>
    <row r="122" spans="1:10" ht="30.75" customHeight="1" hidden="1">
      <c r="A122" s="883"/>
      <c r="B122" s="307"/>
      <c r="C122" s="461">
        <f t="shared" si="7"/>
        <v>0</v>
      </c>
      <c r="D122" s="464"/>
      <c r="E122" s="464"/>
      <c r="H122" s="254"/>
      <c r="I122" s="88"/>
      <c r="J122" s="88"/>
    </row>
    <row r="123" spans="1:5" ht="30.75" customHeight="1" hidden="1">
      <c r="A123" s="890"/>
      <c r="B123" s="307"/>
      <c r="C123" s="461">
        <f t="shared" si="7"/>
        <v>0</v>
      </c>
      <c r="D123" s="464"/>
      <c r="E123" s="464"/>
    </row>
    <row r="124" spans="1:5" ht="30.75" customHeight="1" hidden="1">
      <c r="A124" s="889"/>
      <c r="B124" s="463" t="s">
        <v>843</v>
      </c>
      <c r="C124" s="164">
        <f t="shared" si="7"/>
        <v>0</v>
      </c>
      <c r="D124" s="465">
        <f>SUM(D104:D123)</f>
        <v>0</v>
      </c>
      <c r="E124" s="465">
        <f>SUM(E104:E123)</f>
        <v>0</v>
      </c>
    </row>
    <row r="125" spans="1:7" ht="42.75" customHeight="1">
      <c r="A125" s="879" t="s">
        <v>830</v>
      </c>
      <c r="B125" s="466" t="s">
        <v>621</v>
      </c>
      <c r="C125" s="461">
        <f t="shared" si="7"/>
        <v>36000</v>
      </c>
      <c r="D125" s="464">
        <v>36000</v>
      </c>
      <c r="E125" s="464"/>
      <c r="G125" s="162">
        <f>D125</f>
        <v>36000</v>
      </c>
    </row>
    <row r="126" spans="1:5" ht="30.75" customHeight="1">
      <c r="A126" s="881"/>
      <c r="B126" s="463" t="s">
        <v>843</v>
      </c>
      <c r="C126" s="164">
        <f t="shared" si="7"/>
        <v>36000</v>
      </c>
      <c r="D126" s="465">
        <f>SUM(D125:D125)</f>
        <v>36000</v>
      </c>
      <c r="E126" s="465">
        <f>SUM(E125:E125)</f>
        <v>0</v>
      </c>
    </row>
    <row r="127" spans="1:5" ht="30.75" customHeight="1" hidden="1">
      <c r="A127" s="879" t="s">
        <v>0</v>
      </c>
      <c r="B127" s="307"/>
      <c r="C127" s="461">
        <f t="shared" si="7"/>
        <v>0</v>
      </c>
      <c r="D127" s="461"/>
      <c r="E127" s="461"/>
    </row>
    <row r="128" spans="1:5" ht="30.75" customHeight="1" hidden="1">
      <c r="A128" s="880"/>
      <c r="B128" s="307"/>
      <c r="C128" s="461">
        <f t="shared" si="7"/>
        <v>0</v>
      </c>
      <c r="D128" s="461"/>
      <c r="E128" s="461"/>
    </row>
    <row r="129" spans="1:5" ht="30.75" customHeight="1" hidden="1">
      <c r="A129" s="880"/>
      <c r="B129" s="307"/>
      <c r="C129" s="461">
        <f t="shared" si="7"/>
        <v>0</v>
      </c>
      <c r="D129" s="461"/>
      <c r="E129" s="461"/>
    </row>
    <row r="130" spans="1:5" ht="30.75" customHeight="1" hidden="1">
      <c r="A130" s="880"/>
      <c r="B130" s="307"/>
      <c r="C130" s="461">
        <f t="shared" si="7"/>
        <v>0</v>
      </c>
      <c r="D130" s="461"/>
      <c r="E130" s="461"/>
    </row>
    <row r="131" spans="1:5" ht="30.75" customHeight="1" hidden="1">
      <c r="A131" s="880"/>
      <c r="B131" s="307"/>
      <c r="C131" s="461">
        <f>D131+E131</f>
        <v>0</v>
      </c>
      <c r="D131" s="461"/>
      <c r="E131" s="461"/>
    </row>
    <row r="132" spans="1:5" ht="30.75" customHeight="1" hidden="1">
      <c r="A132" s="880"/>
      <c r="B132" s="307"/>
      <c r="C132" s="461">
        <f t="shared" si="7"/>
        <v>0</v>
      </c>
      <c r="D132" s="461"/>
      <c r="E132" s="461"/>
    </row>
    <row r="133" spans="1:5" ht="30.75" customHeight="1" hidden="1">
      <c r="A133" s="880"/>
      <c r="B133" s="307"/>
      <c r="C133" s="461">
        <f t="shared" si="7"/>
        <v>0</v>
      </c>
      <c r="D133" s="461"/>
      <c r="E133" s="461"/>
    </row>
    <row r="134" spans="1:5" ht="30.75" customHeight="1" hidden="1">
      <c r="A134" s="880"/>
      <c r="B134" s="307"/>
      <c r="C134" s="461">
        <f t="shared" si="7"/>
        <v>0</v>
      </c>
      <c r="D134" s="461"/>
      <c r="E134" s="461"/>
    </row>
    <row r="135" spans="1:5" ht="30.75" customHeight="1" hidden="1">
      <c r="A135" s="880"/>
      <c r="B135" s="307"/>
      <c r="C135" s="461">
        <f t="shared" si="7"/>
        <v>0</v>
      </c>
      <c r="D135" s="461"/>
      <c r="E135" s="461"/>
    </row>
    <row r="136" spans="1:5" ht="30.75" customHeight="1" hidden="1">
      <c r="A136" s="880"/>
      <c r="B136" s="307"/>
      <c r="C136" s="461">
        <f t="shared" si="7"/>
        <v>0</v>
      </c>
      <c r="D136" s="461"/>
      <c r="E136" s="461"/>
    </row>
    <row r="137" spans="1:5" ht="30.75" customHeight="1" hidden="1">
      <c r="A137" s="880"/>
      <c r="B137" s="467"/>
      <c r="C137" s="461">
        <f t="shared" si="7"/>
        <v>0</v>
      </c>
      <c r="D137" s="461"/>
      <c r="E137" s="461"/>
    </row>
    <row r="138" spans="1:5" ht="30.75" customHeight="1" hidden="1">
      <c r="A138" s="880"/>
      <c r="B138" s="307"/>
      <c r="C138" s="461">
        <f t="shared" si="7"/>
        <v>0</v>
      </c>
      <c r="D138" s="461"/>
      <c r="E138" s="461"/>
    </row>
    <row r="139" spans="1:5" ht="30.75" customHeight="1" hidden="1">
      <c r="A139" s="880"/>
      <c r="B139" s="307"/>
      <c r="C139" s="461">
        <f t="shared" si="7"/>
        <v>0</v>
      </c>
      <c r="D139" s="461"/>
      <c r="E139" s="461"/>
    </row>
    <row r="140" spans="1:5" ht="30.75" customHeight="1" hidden="1">
      <c r="A140" s="880"/>
      <c r="B140" s="307"/>
      <c r="C140" s="461">
        <f t="shared" si="7"/>
        <v>0</v>
      </c>
      <c r="D140" s="461"/>
      <c r="E140" s="461"/>
    </row>
    <row r="141" spans="1:5" ht="30.75" customHeight="1" hidden="1">
      <c r="A141" s="880"/>
      <c r="B141" s="307"/>
      <c r="C141" s="461">
        <f t="shared" si="7"/>
        <v>0</v>
      </c>
      <c r="D141" s="461"/>
      <c r="E141" s="461"/>
    </row>
    <row r="142" spans="1:5" ht="30.75" customHeight="1" hidden="1">
      <c r="A142" s="880"/>
      <c r="B142" s="307"/>
      <c r="C142" s="461">
        <f t="shared" si="7"/>
        <v>0</v>
      </c>
      <c r="D142" s="461"/>
      <c r="E142" s="461"/>
    </row>
    <row r="143" spans="1:5" ht="30.75" customHeight="1" hidden="1">
      <c r="A143" s="880"/>
      <c r="B143" s="307"/>
      <c r="C143" s="461">
        <f>D143+E143</f>
        <v>0</v>
      </c>
      <c r="D143" s="461"/>
      <c r="E143" s="461"/>
    </row>
    <row r="144" spans="1:5" ht="30.75" customHeight="1" hidden="1">
      <c r="A144" s="880"/>
      <c r="B144" s="466"/>
      <c r="C144" s="461">
        <f t="shared" si="7"/>
        <v>0</v>
      </c>
      <c r="D144" s="461"/>
      <c r="E144" s="461"/>
    </row>
    <row r="145" spans="1:5" ht="30.75" customHeight="1" hidden="1">
      <c r="A145" s="880"/>
      <c r="B145" s="307"/>
      <c r="C145" s="461">
        <f t="shared" si="7"/>
        <v>0</v>
      </c>
      <c r="D145" s="161"/>
      <c r="E145" s="161"/>
    </row>
    <row r="146" spans="1:5" ht="30.75" customHeight="1" hidden="1">
      <c r="A146" s="880"/>
      <c r="B146" s="460"/>
      <c r="C146" s="461">
        <f t="shared" si="7"/>
        <v>0</v>
      </c>
      <c r="D146" s="161"/>
      <c r="E146" s="161"/>
    </row>
    <row r="147" spans="1:5" ht="30.75" customHeight="1" hidden="1">
      <c r="A147" s="880"/>
      <c r="B147" s="460"/>
      <c r="C147" s="461">
        <f t="shared" si="7"/>
        <v>0</v>
      </c>
      <c r="D147" s="468"/>
      <c r="E147" s="468"/>
    </row>
    <row r="148" spans="1:5" ht="87.75" customHeight="1">
      <c r="A148" s="880"/>
      <c r="B148" s="227" t="s">
        <v>221</v>
      </c>
      <c r="C148" s="547">
        <f t="shared" si="7"/>
        <v>61296</v>
      </c>
      <c r="D148" s="548">
        <v>61296</v>
      </c>
      <c r="E148" s="548"/>
    </row>
    <row r="149" spans="1:5" ht="86.25" customHeight="1">
      <c r="A149" s="880"/>
      <c r="B149" s="227" t="s">
        <v>222</v>
      </c>
      <c r="C149" s="547">
        <f t="shared" si="7"/>
        <v>8811</v>
      </c>
      <c r="D149" s="548">
        <v>8811</v>
      </c>
      <c r="E149" s="548"/>
    </row>
    <row r="150" spans="1:5" ht="74.25" customHeight="1">
      <c r="A150" s="880"/>
      <c r="B150" s="227" t="s">
        <v>223</v>
      </c>
      <c r="C150" s="547">
        <f t="shared" si="7"/>
        <v>12600</v>
      </c>
      <c r="D150" s="548">
        <v>12600</v>
      </c>
      <c r="E150" s="548"/>
    </row>
    <row r="151" spans="1:5" ht="159.75" customHeight="1">
      <c r="A151" s="880"/>
      <c r="B151" s="227" t="s">
        <v>611</v>
      </c>
      <c r="C151" s="547">
        <f t="shared" si="7"/>
        <v>638800</v>
      </c>
      <c r="D151" s="548">
        <f>226300+412500</f>
        <v>638800</v>
      </c>
      <c r="E151" s="548"/>
    </row>
    <row r="152" spans="1:5" ht="63" customHeight="1">
      <c r="A152" s="880"/>
      <c r="B152" s="227" t="s">
        <v>220</v>
      </c>
      <c r="C152" s="547">
        <f t="shared" si="7"/>
        <v>38300</v>
      </c>
      <c r="D152" s="548">
        <v>38300</v>
      </c>
      <c r="E152" s="548"/>
    </row>
    <row r="153" spans="1:5" ht="83.25" customHeight="1">
      <c r="A153" s="880"/>
      <c r="B153" s="227" t="s">
        <v>333</v>
      </c>
      <c r="C153" s="547">
        <f t="shared" si="7"/>
        <v>153516</v>
      </c>
      <c r="D153" s="548">
        <v>153516</v>
      </c>
      <c r="E153" s="548"/>
    </row>
    <row r="154" spans="1:5" ht="119.25" customHeight="1">
      <c r="A154" s="880"/>
      <c r="B154" s="227" t="s">
        <v>334</v>
      </c>
      <c r="C154" s="547">
        <f t="shared" si="7"/>
        <v>29740</v>
      </c>
      <c r="D154" s="548">
        <v>29740</v>
      </c>
      <c r="E154" s="548"/>
    </row>
    <row r="155" spans="1:5" ht="63" customHeight="1">
      <c r="A155" s="880"/>
      <c r="B155" s="227" t="s">
        <v>335</v>
      </c>
      <c r="C155" s="547">
        <f t="shared" si="7"/>
        <v>2256</v>
      </c>
      <c r="D155" s="548">
        <v>2256</v>
      </c>
      <c r="E155" s="548"/>
    </row>
    <row r="156" spans="1:5" ht="66" customHeight="1">
      <c r="A156" s="880"/>
      <c r="B156" s="227" t="s">
        <v>336</v>
      </c>
      <c r="C156" s="547">
        <f t="shared" si="7"/>
        <v>15215</v>
      </c>
      <c r="D156" s="548">
        <v>15215</v>
      </c>
      <c r="E156" s="548"/>
    </row>
    <row r="157" spans="1:5" ht="30.75" customHeight="1">
      <c r="A157" s="881"/>
      <c r="B157" s="549" t="s">
        <v>843</v>
      </c>
      <c r="C157" s="124">
        <f>D157+E157</f>
        <v>960534</v>
      </c>
      <c r="D157" s="124">
        <f>SUM(D127:D156)</f>
        <v>960534</v>
      </c>
      <c r="E157" s="124">
        <f>SUM(E127:E156)</f>
        <v>0</v>
      </c>
    </row>
    <row r="158" spans="1:5" ht="30.75" customHeight="1" hidden="1">
      <c r="A158" s="879" t="s">
        <v>833</v>
      </c>
      <c r="B158" s="307"/>
      <c r="C158" s="161">
        <f t="shared" si="7"/>
        <v>0</v>
      </c>
      <c r="D158" s="161"/>
      <c r="E158" s="161"/>
    </row>
    <row r="159" spans="1:5" ht="30.75" customHeight="1" hidden="1">
      <c r="A159" s="880"/>
      <c r="B159" s="458"/>
      <c r="C159" s="161">
        <f t="shared" si="7"/>
        <v>0</v>
      </c>
      <c r="D159" s="161"/>
      <c r="E159" s="161"/>
    </row>
    <row r="160" spans="1:5" ht="30.75" customHeight="1" hidden="1">
      <c r="A160" s="880"/>
      <c r="B160" s="458"/>
      <c r="C160" s="161">
        <f t="shared" si="7"/>
        <v>0</v>
      </c>
      <c r="D160" s="161"/>
      <c r="E160" s="161"/>
    </row>
    <row r="161" spans="1:5" ht="30.75" customHeight="1" hidden="1">
      <c r="A161" s="880"/>
      <c r="B161" s="458"/>
      <c r="C161" s="161">
        <f t="shared" si="7"/>
        <v>0</v>
      </c>
      <c r="D161" s="161"/>
      <c r="E161" s="161"/>
    </row>
    <row r="162" spans="1:5" ht="30.75" customHeight="1" hidden="1">
      <c r="A162" s="880"/>
      <c r="B162" s="458"/>
      <c r="C162" s="161">
        <f t="shared" si="7"/>
        <v>0</v>
      </c>
      <c r="D162" s="161"/>
      <c r="E162" s="161"/>
    </row>
    <row r="163" spans="1:5" ht="30.75" customHeight="1" hidden="1">
      <c r="A163" s="880"/>
      <c r="B163" s="458"/>
      <c r="C163" s="161">
        <f t="shared" si="7"/>
        <v>0</v>
      </c>
      <c r="D163" s="161"/>
      <c r="E163" s="161"/>
    </row>
    <row r="164" spans="1:5" ht="30.75" customHeight="1" hidden="1">
      <c r="A164" s="880"/>
      <c r="B164" s="458"/>
      <c r="C164" s="161">
        <f t="shared" si="7"/>
        <v>0</v>
      </c>
      <c r="D164" s="161"/>
      <c r="E164" s="161"/>
    </row>
    <row r="165" spans="1:5" ht="30.75" customHeight="1" hidden="1">
      <c r="A165" s="880"/>
      <c r="B165" s="458"/>
      <c r="C165" s="161">
        <f t="shared" si="7"/>
        <v>0</v>
      </c>
      <c r="D165" s="161"/>
      <c r="E165" s="161"/>
    </row>
    <row r="166" spans="1:5" ht="30.75" customHeight="1" hidden="1">
      <c r="A166" s="880"/>
      <c r="B166" s="458"/>
      <c r="C166" s="161">
        <f aca="true" t="shared" si="8" ref="C166:C177">D166+E166</f>
        <v>0</v>
      </c>
      <c r="D166" s="161"/>
      <c r="E166" s="161"/>
    </row>
    <row r="167" spans="1:5" ht="69" customHeight="1" hidden="1">
      <c r="A167" s="880"/>
      <c r="B167" s="458"/>
      <c r="C167" s="161">
        <f t="shared" si="8"/>
        <v>0</v>
      </c>
      <c r="D167" s="161"/>
      <c r="E167" s="161"/>
    </row>
    <row r="168" spans="1:5" ht="30.75" customHeight="1" hidden="1">
      <c r="A168" s="880"/>
      <c r="B168" s="307"/>
      <c r="C168" s="161">
        <f t="shared" si="8"/>
        <v>0</v>
      </c>
      <c r="D168" s="161"/>
      <c r="E168" s="161"/>
    </row>
    <row r="169" spans="1:7" ht="60.75" customHeight="1">
      <c r="A169" s="880"/>
      <c r="B169" s="458" t="s">
        <v>620</v>
      </c>
      <c r="C169" s="161">
        <f t="shared" si="8"/>
        <v>2400</v>
      </c>
      <c r="D169" s="161">
        <v>2400</v>
      </c>
      <c r="E169" s="161"/>
      <c r="G169" s="162">
        <f>D169</f>
        <v>2400</v>
      </c>
    </row>
    <row r="170" spans="1:5" ht="30.75" customHeight="1">
      <c r="A170" s="881"/>
      <c r="B170" s="469" t="s">
        <v>843</v>
      </c>
      <c r="C170" s="164">
        <f>D170+E170</f>
        <v>2400</v>
      </c>
      <c r="D170" s="164">
        <f>SUM(D158:D169)</f>
        <v>2400</v>
      </c>
      <c r="E170" s="164">
        <f>SUM(E158:E169)</f>
        <v>0</v>
      </c>
    </row>
    <row r="171" spans="1:5" ht="30.75" customHeight="1" hidden="1">
      <c r="A171" s="879" t="s">
        <v>1</v>
      </c>
      <c r="B171" s="466"/>
      <c r="C171" s="161">
        <f t="shared" si="8"/>
        <v>0</v>
      </c>
      <c r="D171" s="161"/>
      <c r="E171" s="161"/>
    </row>
    <row r="172" spans="1:5" ht="30.75" customHeight="1" hidden="1">
      <c r="A172" s="880"/>
      <c r="B172" s="466"/>
      <c r="C172" s="161">
        <f t="shared" si="8"/>
        <v>0</v>
      </c>
      <c r="D172" s="161"/>
      <c r="E172" s="161"/>
    </row>
    <row r="173" spans="1:5" ht="65.25" customHeight="1">
      <c r="A173" s="880"/>
      <c r="B173" s="539" t="s">
        <v>566</v>
      </c>
      <c r="C173" s="113">
        <f>D173+E173</f>
        <v>175328</v>
      </c>
      <c r="D173" s="113">
        <v>175328</v>
      </c>
      <c r="E173" s="113"/>
    </row>
    <row r="174" spans="1:5" ht="81.75" customHeight="1">
      <c r="A174" s="880"/>
      <c r="B174" s="227" t="s">
        <v>565</v>
      </c>
      <c r="C174" s="113">
        <f t="shared" si="8"/>
        <v>844352</v>
      </c>
      <c r="D174" s="113">
        <v>844352</v>
      </c>
      <c r="E174" s="113"/>
    </row>
    <row r="175" spans="1:5" ht="117.75" customHeight="1">
      <c r="A175" s="880"/>
      <c r="B175" s="227" t="s">
        <v>569</v>
      </c>
      <c r="C175" s="113">
        <f t="shared" si="8"/>
        <v>87640</v>
      </c>
      <c r="D175" s="113">
        <v>87640</v>
      </c>
      <c r="E175" s="113"/>
    </row>
    <row r="176" spans="1:5" ht="64.5" customHeight="1">
      <c r="A176" s="880"/>
      <c r="B176" s="227" t="s">
        <v>774</v>
      </c>
      <c r="C176" s="113">
        <f t="shared" si="8"/>
        <v>3384</v>
      </c>
      <c r="D176" s="113">
        <v>3384</v>
      </c>
      <c r="E176" s="113"/>
    </row>
    <row r="177" spans="1:5" ht="60.75" customHeight="1">
      <c r="A177" s="880"/>
      <c r="B177" s="227" t="s">
        <v>775</v>
      </c>
      <c r="C177" s="113">
        <f t="shared" si="8"/>
        <v>53950</v>
      </c>
      <c r="D177" s="113">
        <v>53950</v>
      </c>
      <c r="E177" s="113"/>
    </row>
    <row r="178" spans="1:5" ht="30.75" customHeight="1">
      <c r="A178" s="881"/>
      <c r="B178" s="459" t="s">
        <v>843</v>
      </c>
      <c r="C178" s="164">
        <f>D178+E178</f>
        <v>1164654</v>
      </c>
      <c r="D178" s="164">
        <f>SUM(D171:D177)</f>
        <v>1164654</v>
      </c>
      <c r="E178" s="164">
        <f>SUM(E171:E177)</f>
        <v>0</v>
      </c>
    </row>
    <row r="179" spans="1:7" ht="45" customHeight="1">
      <c r="A179" s="879" t="s">
        <v>832</v>
      </c>
      <c r="B179" s="470" t="s">
        <v>624</v>
      </c>
      <c r="C179" s="161">
        <f aca="true" t="shared" si="9" ref="C179:C184">D179+E179</f>
        <v>31500</v>
      </c>
      <c r="D179" s="161">
        <v>31500</v>
      </c>
      <c r="E179" s="161"/>
      <c r="G179" s="162">
        <f>D179</f>
        <v>31500</v>
      </c>
    </row>
    <row r="180" spans="1:7" ht="42.75" customHeight="1">
      <c r="A180" s="880"/>
      <c r="B180" s="470" t="s">
        <v>625</v>
      </c>
      <c r="C180" s="161">
        <f t="shared" si="9"/>
        <v>7350</v>
      </c>
      <c r="D180" s="161"/>
      <c r="E180" s="161">
        <v>7350</v>
      </c>
      <c r="G180" s="162">
        <f>D180</f>
        <v>0</v>
      </c>
    </row>
    <row r="181" spans="1:8" ht="69" customHeight="1">
      <c r="A181" s="880"/>
      <c r="B181" s="470" t="s">
        <v>626</v>
      </c>
      <c r="C181" s="161">
        <f t="shared" si="9"/>
        <v>10000</v>
      </c>
      <c r="D181" s="161">
        <v>10000</v>
      </c>
      <c r="E181" s="161"/>
      <c r="H181" s="162">
        <f>D181</f>
        <v>10000</v>
      </c>
    </row>
    <row r="182" spans="1:5" ht="30.75" customHeight="1">
      <c r="A182" s="881"/>
      <c r="B182" s="459" t="s">
        <v>843</v>
      </c>
      <c r="C182" s="164">
        <f t="shared" si="9"/>
        <v>48850</v>
      </c>
      <c r="D182" s="164">
        <f>SUM(D179:D181)</f>
        <v>41500</v>
      </c>
      <c r="E182" s="164">
        <f>SUM(E179:E181)</f>
        <v>7350</v>
      </c>
    </row>
    <row r="183" spans="1:5" ht="30.75" customHeight="1" hidden="1">
      <c r="A183" s="877" t="s">
        <v>712</v>
      </c>
      <c r="B183" s="470"/>
      <c r="C183" s="161">
        <f t="shared" si="9"/>
        <v>0</v>
      </c>
      <c r="D183" s="161"/>
      <c r="E183" s="161"/>
    </row>
    <row r="184" spans="1:5" ht="30.75" customHeight="1" hidden="1">
      <c r="A184" s="878"/>
      <c r="B184" s="459" t="s">
        <v>843</v>
      </c>
      <c r="C184" s="164">
        <f t="shared" si="9"/>
        <v>0</v>
      </c>
      <c r="D184" s="164">
        <f>SUM(D183:D183)</f>
        <v>0</v>
      </c>
      <c r="E184" s="164">
        <f>SUM(E183:E183)</f>
        <v>0</v>
      </c>
    </row>
    <row r="185" spans="1:5" ht="121.5" customHeight="1" hidden="1">
      <c r="A185" s="879" t="s">
        <v>2</v>
      </c>
      <c r="B185" s="470"/>
      <c r="C185" s="161">
        <f aca="true" t="shared" si="10" ref="C185:C193">D185+E185</f>
        <v>0</v>
      </c>
      <c r="D185" s="161"/>
      <c r="E185" s="161"/>
    </row>
    <row r="186" spans="1:5" ht="117.75" customHeight="1">
      <c r="A186" s="880"/>
      <c r="B186" s="470" t="s">
        <v>663</v>
      </c>
      <c r="C186" s="161">
        <f t="shared" si="10"/>
        <v>28545</v>
      </c>
      <c r="D186" s="161">
        <v>28545</v>
      </c>
      <c r="E186" s="161"/>
    </row>
    <row r="187" spans="1:5" ht="48" customHeight="1">
      <c r="A187" s="880"/>
      <c r="B187" s="470" t="s">
        <v>664</v>
      </c>
      <c r="C187" s="161">
        <f t="shared" si="10"/>
        <v>14180</v>
      </c>
      <c r="D187" s="161">
        <v>14180</v>
      </c>
      <c r="E187" s="161"/>
    </row>
    <row r="188" spans="1:5" ht="30.75" customHeight="1">
      <c r="A188" s="881"/>
      <c r="B188" s="459" t="s">
        <v>843</v>
      </c>
      <c r="C188" s="164">
        <f t="shared" si="10"/>
        <v>42725</v>
      </c>
      <c r="D188" s="164">
        <f>SUM(D185:D187)</f>
        <v>42725</v>
      </c>
      <c r="E188" s="164">
        <f>SUM(E185:E187)</f>
        <v>0</v>
      </c>
    </row>
    <row r="189" spans="1:5" s="430" customFormat="1" ht="30.75" customHeight="1" hidden="1">
      <c r="A189" s="879" t="s">
        <v>836</v>
      </c>
      <c r="B189" s="307"/>
      <c r="C189" s="161">
        <f t="shared" si="10"/>
        <v>0</v>
      </c>
      <c r="D189" s="161"/>
      <c r="E189" s="161"/>
    </row>
    <row r="190" spans="1:5" ht="30.75" customHeight="1" hidden="1">
      <c r="A190" s="880"/>
      <c r="B190" s="307"/>
      <c r="C190" s="161">
        <f t="shared" si="10"/>
        <v>0</v>
      </c>
      <c r="D190" s="161"/>
      <c r="E190" s="161"/>
    </row>
    <row r="191" spans="1:5" ht="100.5" customHeight="1">
      <c r="A191" s="880"/>
      <c r="B191" s="227" t="s">
        <v>292</v>
      </c>
      <c r="C191" s="113">
        <f t="shared" si="10"/>
        <v>258352</v>
      </c>
      <c r="D191" s="113">
        <v>258352</v>
      </c>
      <c r="E191" s="113"/>
    </row>
    <row r="192" spans="1:5" ht="116.25" customHeight="1">
      <c r="A192" s="880"/>
      <c r="B192" s="551" t="s">
        <v>663</v>
      </c>
      <c r="C192" s="113">
        <f t="shared" si="10"/>
        <v>4440</v>
      </c>
      <c r="D192" s="113">
        <v>4440</v>
      </c>
      <c r="E192" s="113"/>
    </row>
    <row r="193" spans="1:5" ht="34.5" customHeight="1">
      <c r="A193" s="880"/>
      <c r="B193" s="227" t="s">
        <v>293</v>
      </c>
      <c r="C193" s="113">
        <f t="shared" si="10"/>
        <v>29000</v>
      </c>
      <c r="D193" s="113">
        <v>29000</v>
      </c>
      <c r="E193" s="113"/>
    </row>
    <row r="194" spans="1:5" ht="30.75" customHeight="1">
      <c r="A194" s="881"/>
      <c r="B194" s="459" t="s">
        <v>843</v>
      </c>
      <c r="C194" s="164">
        <f>D194+E194</f>
        <v>291792</v>
      </c>
      <c r="D194" s="164">
        <f>SUM(D189:D193)</f>
        <v>291792</v>
      </c>
      <c r="E194" s="164">
        <f>SUM(E189:E193)</f>
        <v>0</v>
      </c>
    </row>
    <row r="195" spans="1:5" ht="30.75" customHeight="1">
      <c r="A195" s="887" t="s">
        <v>843</v>
      </c>
      <c r="B195" s="888"/>
      <c r="C195" s="164">
        <f>E195+D195</f>
        <v>4758878</v>
      </c>
      <c r="D195" s="164">
        <f>D51+D59+D84+D99+D157+D170+D178+D103+D64+D124+D55+D95+D88+D194+D68+D126+D188+D182+D184</f>
        <v>3401528</v>
      </c>
      <c r="E195" s="164">
        <f>E51+E59+E84+E99+E157+E170+E178+E103+E64+E124+E55+E95+E88+E194+E68+E126+E188+E182+E184</f>
        <v>1357350</v>
      </c>
    </row>
    <row r="196" spans="1:5" ht="12.75">
      <c r="A196" s="309"/>
      <c r="B196" s="309"/>
      <c r="C196" s="309"/>
      <c r="D196" s="309"/>
      <c r="E196" s="309"/>
    </row>
    <row r="197" spans="1:5" ht="12.75">
      <c r="A197" s="309"/>
      <c r="B197" s="309"/>
      <c r="C197" s="309"/>
      <c r="D197" s="309"/>
      <c r="E197" s="309"/>
    </row>
    <row r="198" spans="1:5" ht="18.75">
      <c r="A198" s="173" t="s">
        <v>714</v>
      </c>
      <c r="B198" s="173"/>
      <c r="C198" s="173"/>
      <c r="D198" s="173" t="s">
        <v>434</v>
      </c>
      <c r="E198" s="309"/>
    </row>
    <row r="199" spans="1:5" ht="18.75">
      <c r="A199" s="99"/>
      <c r="B199" s="99" t="s">
        <v>243</v>
      </c>
      <c r="C199" s="130">
        <f>'Дод.1'!C115</f>
        <v>4758878</v>
      </c>
      <c r="D199" s="130">
        <f>'Дод.1'!D115</f>
        <v>3401528</v>
      </c>
      <c r="E199" s="130">
        <f>'Дод.1'!E115</f>
        <v>1357350</v>
      </c>
    </row>
    <row r="200" spans="2:5" ht="12.75">
      <c r="B200" s="235" t="s">
        <v>8</v>
      </c>
      <c r="C200" s="236">
        <f>C199-C195</f>
        <v>0</v>
      </c>
      <c r="D200" s="236">
        <f>D199-D195</f>
        <v>0</v>
      </c>
      <c r="E200" s="236">
        <f>E199-E195</f>
        <v>0</v>
      </c>
    </row>
    <row r="201" spans="4:5" ht="12.75">
      <c r="D201" s="162"/>
      <c r="E201" s="162"/>
    </row>
    <row r="202" spans="4:5" ht="12.75">
      <c r="D202" s="162"/>
      <c r="E202" s="198"/>
    </row>
  </sheetData>
  <sheetProtection/>
  <mergeCells count="24">
    <mergeCell ref="A52:A55"/>
    <mergeCell ref="A85:A88"/>
    <mergeCell ref="A8:A51"/>
    <mergeCell ref="C1:D1"/>
    <mergeCell ref="C2:E2"/>
    <mergeCell ref="C3:E3"/>
    <mergeCell ref="A4:E4"/>
    <mergeCell ref="A195:B195"/>
    <mergeCell ref="A96:A99"/>
    <mergeCell ref="A100:A103"/>
    <mergeCell ref="A104:A124"/>
    <mergeCell ref="A127:A157"/>
    <mergeCell ref="A189:A194"/>
    <mergeCell ref="A125:A126"/>
    <mergeCell ref="A158:A170"/>
    <mergeCell ref="A185:A188"/>
    <mergeCell ref="A171:A178"/>
    <mergeCell ref="A183:A184"/>
    <mergeCell ref="A56:A59"/>
    <mergeCell ref="A65:A68"/>
    <mergeCell ref="A69:A84"/>
    <mergeCell ref="A89:A95"/>
    <mergeCell ref="A60:A64"/>
    <mergeCell ref="A179:A182"/>
  </mergeCells>
  <printOptions/>
  <pageMargins left="0.71" right="0.29" top="0.59" bottom="0.48" header="0.5" footer="0.38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 topLeftCell="A7">
      <selection activeCell="F18" sqref="F18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21.125" style="0" customWidth="1"/>
    <col min="4" max="4" width="17.625" style="0" customWidth="1"/>
  </cols>
  <sheetData>
    <row r="1" spans="3:4" ht="12.75">
      <c r="C1" s="710" t="s">
        <v>65</v>
      </c>
      <c r="D1" s="710"/>
    </row>
    <row r="2" spans="3:4" ht="12.75">
      <c r="C2" s="710" t="str">
        <f>'Дод.1'!D2</f>
        <v>до рішення  районної ради  </v>
      </c>
      <c r="D2" s="710"/>
    </row>
    <row r="3" spans="3:4" ht="12.75">
      <c r="C3" s="894" t="str">
        <f>'Дод.1'!D3</f>
        <v>від                    №  </v>
      </c>
      <c r="D3" s="894"/>
    </row>
    <row r="4" spans="3:4" ht="12.75">
      <c r="C4" s="317"/>
      <c r="D4" s="317"/>
    </row>
    <row r="5" spans="3:4" ht="12.75">
      <c r="C5" s="317"/>
      <c r="D5" s="317"/>
    </row>
    <row r="6" spans="1:6" ht="39" customHeight="1">
      <c r="A6" s="893" t="s">
        <v>766</v>
      </c>
      <c r="B6" s="893"/>
      <c r="C6" s="893"/>
      <c r="D6" s="893"/>
      <c r="E6" s="191"/>
      <c r="F6" s="191"/>
    </row>
    <row r="7" spans="1:4" ht="20.25">
      <c r="A7" s="246"/>
      <c r="B7" s="246"/>
      <c r="C7" s="246"/>
      <c r="D7" s="651" t="s">
        <v>302</v>
      </c>
    </row>
    <row r="8" spans="1:4" ht="51.75" customHeight="1">
      <c r="A8" s="138" t="s">
        <v>436</v>
      </c>
      <c r="B8" s="138" t="s">
        <v>437</v>
      </c>
      <c r="C8" s="371" t="s">
        <v>438</v>
      </c>
      <c r="D8" s="371" t="s">
        <v>439</v>
      </c>
    </row>
    <row r="9" spans="1:4" ht="19.5" customHeight="1">
      <c r="A9" s="550" t="s">
        <v>523</v>
      </c>
      <c r="B9" s="375" t="s">
        <v>476</v>
      </c>
      <c r="C9" s="330">
        <v>3166774</v>
      </c>
      <c r="D9" s="385">
        <v>795249</v>
      </c>
    </row>
    <row r="10" spans="1:4" ht="19.5" customHeight="1">
      <c r="A10" s="550" t="s">
        <v>524</v>
      </c>
      <c r="B10" s="374" t="s">
        <v>249</v>
      </c>
      <c r="C10" s="330">
        <v>406579</v>
      </c>
      <c r="D10" s="385">
        <v>307268</v>
      </c>
    </row>
    <row r="11" spans="1:4" ht="19.5" customHeight="1">
      <c r="A11" s="550" t="s">
        <v>525</v>
      </c>
      <c r="B11" s="375" t="s">
        <v>251</v>
      </c>
      <c r="C11" s="330">
        <v>200325</v>
      </c>
      <c r="D11" s="385">
        <v>496559</v>
      </c>
    </row>
    <row r="12" spans="1:4" ht="19.5" customHeight="1">
      <c r="A12" s="550" t="s">
        <v>526</v>
      </c>
      <c r="B12" s="375" t="s">
        <v>718</v>
      </c>
      <c r="C12" s="330">
        <v>2686712</v>
      </c>
      <c r="D12" s="385">
        <v>888565</v>
      </c>
    </row>
    <row r="13" spans="1:4" ht="19.5" customHeight="1">
      <c r="A13" s="550" t="s">
        <v>527</v>
      </c>
      <c r="B13" s="375" t="s">
        <v>719</v>
      </c>
      <c r="C13" s="330">
        <v>117994</v>
      </c>
      <c r="D13" s="385">
        <v>222964</v>
      </c>
    </row>
    <row r="14" spans="1:4" ht="19.5" customHeight="1">
      <c r="A14" s="550" t="s">
        <v>528</v>
      </c>
      <c r="B14" s="374" t="s">
        <v>477</v>
      </c>
      <c r="C14" s="330">
        <v>174284</v>
      </c>
      <c r="D14" s="385">
        <v>88154</v>
      </c>
    </row>
    <row r="15" spans="1:4" ht="19.5" customHeight="1">
      <c r="A15" s="550" t="s">
        <v>529</v>
      </c>
      <c r="B15" s="375" t="s">
        <v>478</v>
      </c>
      <c r="C15" s="330">
        <v>133631</v>
      </c>
      <c r="D15" s="385">
        <v>81957</v>
      </c>
    </row>
    <row r="16" spans="1:4" ht="19.5" customHeight="1">
      <c r="A16" s="550" t="s">
        <v>530</v>
      </c>
      <c r="B16" s="375" t="s">
        <v>479</v>
      </c>
      <c r="C16" s="330">
        <v>329467</v>
      </c>
      <c r="D16" s="385">
        <v>451445</v>
      </c>
    </row>
    <row r="17" spans="1:4" ht="19.5" customHeight="1">
      <c r="A17" s="550" t="s">
        <v>531</v>
      </c>
      <c r="B17" s="375" t="s">
        <v>480</v>
      </c>
      <c r="C17" s="330">
        <v>125029</v>
      </c>
      <c r="D17" s="385">
        <v>410421</v>
      </c>
    </row>
    <row r="18" spans="1:4" ht="19.5" customHeight="1">
      <c r="A18" s="550" t="s">
        <v>532</v>
      </c>
      <c r="B18" s="384" t="s">
        <v>481</v>
      </c>
      <c r="C18" s="330">
        <v>2283807</v>
      </c>
      <c r="D18" s="385">
        <v>650051</v>
      </c>
    </row>
    <row r="19" spans="1:4" ht="19.5" customHeight="1">
      <c r="A19" s="550" t="s">
        <v>533</v>
      </c>
      <c r="B19" s="374" t="s">
        <v>482</v>
      </c>
      <c r="C19" s="330">
        <v>93336</v>
      </c>
      <c r="D19" s="385">
        <v>218428</v>
      </c>
    </row>
    <row r="20" spans="1:4" ht="19.5" customHeight="1">
      <c r="A20" s="550" t="s">
        <v>534</v>
      </c>
      <c r="B20" s="375" t="s">
        <v>483</v>
      </c>
      <c r="C20" s="330">
        <v>144580</v>
      </c>
      <c r="D20" s="385">
        <v>235304</v>
      </c>
    </row>
    <row r="21" spans="1:4" ht="19.5" customHeight="1">
      <c r="A21" s="550" t="s">
        <v>535</v>
      </c>
      <c r="B21" s="375" t="s">
        <v>458</v>
      </c>
      <c r="C21" s="330">
        <v>83531</v>
      </c>
      <c r="D21" s="385">
        <v>198991</v>
      </c>
    </row>
    <row r="22" spans="1:4" ht="19.5" customHeight="1">
      <c r="A22" s="550" t="s">
        <v>536</v>
      </c>
      <c r="B22" s="375" t="s">
        <v>485</v>
      </c>
      <c r="C22" s="330">
        <v>1806919</v>
      </c>
      <c r="D22" s="385">
        <v>196684</v>
      </c>
    </row>
    <row r="23" spans="1:4" ht="19.5" customHeight="1">
      <c r="A23" s="550" t="s">
        <v>537</v>
      </c>
      <c r="B23" s="384" t="s">
        <v>486</v>
      </c>
      <c r="C23" s="330">
        <v>2349354</v>
      </c>
      <c r="D23" s="385">
        <v>474888</v>
      </c>
    </row>
    <row r="24" spans="1:4" ht="19.5" customHeight="1">
      <c r="A24" s="550" t="s">
        <v>456</v>
      </c>
      <c r="B24" s="374" t="s">
        <v>712</v>
      </c>
      <c r="C24" s="330">
        <v>1219287</v>
      </c>
      <c r="D24" s="385">
        <v>456240</v>
      </c>
    </row>
    <row r="25" spans="1:4" ht="19.5" customHeight="1">
      <c r="A25" s="550" t="s">
        <v>457</v>
      </c>
      <c r="B25" s="375" t="s">
        <v>713</v>
      </c>
      <c r="C25" s="330">
        <v>16087890</v>
      </c>
      <c r="D25" s="385">
        <v>1252486</v>
      </c>
    </row>
    <row r="26" spans="1:4" ht="19.5" customHeight="1">
      <c r="A26" s="372"/>
      <c r="B26" s="373" t="s">
        <v>248</v>
      </c>
      <c r="C26" s="327">
        <f>SUM(C9:C25)</f>
        <v>31409499</v>
      </c>
      <c r="D26" s="327">
        <f>SUM(D9:D25)</f>
        <v>7425654</v>
      </c>
    </row>
    <row r="27" spans="1:4" s="88" customFormat="1" ht="15.75" customHeight="1">
      <c r="A27" s="376"/>
      <c r="B27" s="377"/>
      <c r="C27" s="378"/>
      <c r="D27" s="379"/>
    </row>
    <row r="28" spans="1:4" s="88" customFormat="1" ht="15.75" customHeight="1">
      <c r="A28" s="376"/>
      <c r="B28" s="380"/>
      <c r="C28" s="381"/>
      <c r="D28" s="382"/>
    </row>
    <row r="29" spans="1:4" s="88" customFormat="1" ht="15.75" customHeight="1">
      <c r="A29" s="376"/>
      <c r="B29" s="383" t="s">
        <v>7</v>
      </c>
      <c r="C29" s="378"/>
      <c r="D29" s="379" t="s">
        <v>434</v>
      </c>
    </row>
    <row r="30" s="88" customFormat="1" ht="12.75" customHeight="1"/>
    <row r="31" s="88" customFormat="1" ht="12.75" customHeight="1"/>
    <row r="32" s="88" customFormat="1" ht="12.75" customHeight="1"/>
    <row r="33" s="88" customFormat="1" ht="12.75" customHeight="1"/>
  </sheetData>
  <sheetProtection/>
  <mergeCells count="4">
    <mergeCell ref="A6:D6"/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Tested</dc:creator>
  <cp:keywords/>
  <dc:description/>
  <cp:lastModifiedBy>пк 3</cp:lastModifiedBy>
  <cp:lastPrinted>2019-01-28T10:34:31Z</cp:lastPrinted>
  <dcterms:created xsi:type="dcterms:W3CDTF">2002-01-25T08:39:13Z</dcterms:created>
  <dcterms:modified xsi:type="dcterms:W3CDTF">2019-01-28T10:34:32Z</dcterms:modified>
  <cp:category/>
  <cp:version/>
  <cp:contentType/>
  <cp:contentStatus/>
</cp:coreProperties>
</file>